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tabRatio="737" firstSheet="1" activeTab="8"/>
  </bookViews>
  <sheets>
    <sheet name="Титульный" sheetId="1" r:id="rId1"/>
    <sheet name="Общие сведения" sheetId="2" r:id="rId2"/>
    <sheet name="Госуслуги" sheetId="3" r:id="rId3"/>
    <sheet name="Персонал" sheetId="4" r:id="rId4"/>
    <sheet name="Руководители" sheetId="5" r:id="rId5"/>
    <sheet name="Инфраструктура" sheetId="6" r:id="rId6"/>
    <sheet name="Оборудование" sheetId="7" r:id="rId7"/>
    <sheet name="Коммунальные услуги" sheetId="8" r:id="rId8"/>
    <sheet name="Износ" sheetId="9" r:id="rId9"/>
    <sheet name="Расходы" sheetId="10" r:id="rId10"/>
    <sheet name="Предписания" sheetId="11" r:id="rId11"/>
  </sheets>
  <definedNames>
    <definedName name="Excel_BuiltIn__FilterDatabase" localSheetId="2">'Госуслуги'!$A$6:$AG$59</definedName>
    <definedName name="_xlnm.Print_Titles" localSheetId="9">'Расходы'!$6:$7</definedName>
    <definedName name="_xlnm.Print_Area" localSheetId="2">'Госуслуги'!$A$1:$E$58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B11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Заработная плата 
</t>
        </r>
      </text>
    </comment>
    <comment ref="T12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дорога+дети до 3+Михальченко
+213 с дороги
</t>
        </r>
      </text>
    </comment>
    <comment ref="W12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дорога+дети до 3+Михальченко
+213 с дороги
</t>
        </r>
      </text>
    </comment>
    <comment ref="B16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Начисления на заработную плату+ начисления по льготной дороге
</t>
        </r>
      </text>
    </comment>
    <comment ref="B17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Льготный проезд к отпуску и обратно
</t>
        </r>
      </text>
    </comment>
    <comment ref="B20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>весь 221</t>
        </r>
      </text>
    </comment>
    <comment ref="T20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весь КОСГУ 221
</t>
        </r>
      </text>
    </comment>
    <comment ref="W20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весь КОСГУ 221
</t>
        </r>
      </text>
    </comment>
    <comment ref="T27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Договора уборка+вывоз мусора
</t>
        </r>
      </text>
    </comment>
    <comment ref="W27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Договора уборка+вывоз мусора
</t>
        </r>
      </text>
    </comment>
    <comment ref="AC27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Уборка + вывоз мусора
</t>
        </r>
      </text>
    </comment>
    <comment ref="AC28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Машина. Техосмотр, ремонт техники
</t>
        </r>
      </text>
    </comment>
    <comment ref="AC29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перезарядка огнетушителей
</t>
        </r>
      </text>
    </comment>
    <comment ref="AC31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Ремонт помещений. Крыльцо
</t>
        </r>
      </text>
    </comment>
    <comment ref="B47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 xml:space="preserve">Пособие до 3-х лет + 3 дня за счет работодателя
</t>
        </r>
      </text>
    </comment>
    <comment ref="AF69" authorId="0">
      <text>
        <r>
          <rPr>
            <b/>
            <sz val="9"/>
            <color indexed="8"/>
            <rFont val="Tahoma"/>
            <family val="2"/>
          </rPr>
          <t xml:space="preserve">ЛБО
</t>
        </r>
      </text>
    </comment>
    <comment ref="AK69" authorId="0">
      <text>
        <r>
          <rPr>
            <b/>
            <sz val="9"/>
            <color indexed="8"/>
            <rFont val="Tahoma"/>
            <family val="2"/>
          </rPr>
          <t xml:space="preserve">Администратор:
</t>
        </r>
        <r>
          <rPr>
            <sz val="9"/>
            <color indexed="8"/>
            <rFont val="Tahoma"/>
            <family val="2"/>
          </rPr>
          <t>ЛБО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9" authorId="0">
      <text>
        <r>
          <rPr>
            <sz val="8"/>
            <color indexed="8"/>
            <rFont val="Tahoma"/>
            <family val="2"/>
          </rPr>
          <t xml:space="preserve">0321020
</t>
        </r>
      </text>
    </comment>
    <comment ref="E11" authorId="0">
      <text>
        <r>
          <rPr>
            <sz val="8"/>
            <color indexed="8"/>
            <rFont val="Tahoma"/>
            <family val="2"/>
          </rPr>
          <t xml:space="preserve">0321010
</t>
        </r>
      </text>
    </comment>
    <comment ref="E12" authorId="0">
      <text>
        <r>
          <rPr>
            <sz val="8"/>
            <color indexed="8"/>
            <rFont val="Tahoma"/>
            <family val="2"/>
          </rPr>
          <t xml:space="preserve">0321011
</t>
        </r>
      </text>
    </comment>
    <comment ref="E13" authorId="0">
      <text>
        <r>
          <rPr>
            <sz val="8"/>
            <color indexed="8"/>
            <rFont val="Tahoma"/>
            <family val="2"/>
          </rPr>
          <t xml:space="preserve">0321322
</t>
        </r>
      </text>
    </comment>
    <comment ref="E14" authorId="0">
      <text>
        <r>
          <rPr>
            <sz val="8"/>
            <color indexed="8"/>
            <rFont val="Tahoma"/>
            <family val="2"/>
          </rPr>
          <t xml:space="preserve">0321013
</t>
        </r>
      </text>
    </comment>
    <comment ref="E16" authorId="0">
      <text>
        <r>
          <rPr>
            <sz val="8"/>
            <color indexed="8"/>
            <rFont val="Tahoma"/>
            <family val="2"/>
          </rPr>
          <t xml:space="preserve">0321321
</t>
        </r>
      </text>
    </comment>
    <comment ref="E17" authorId="0">
      <text>
        <r>
          <rPr>
            <sz val="8"/>
            <color indexed="8"/>
            <rFont val="Tahoma"/>
            <family val="2"/>
          </rPr>
          <t xml:space="preserve">0321012
</t>
        </r>
      </text>
    </comment>
    <comment ref="E18" authorId="0">
      <text>
        <r>
          <rPr>
            <sz val="8"/>
            <color indexed="8"/>
            <rFont val="Tahoma"/>
            <family val="2"/>
          </rPr>
          <t xml:space="preserve">0321332
</t>
        </r>
      </text>
    </comment>
    <comment ref="E20" authorId="0">
      <text>
        <r>
          <rPr>
            <sz val="8"/>
            <color indexed="8"/>
            <rFont val="Tahoma"/>
            <family val="2"/>
          </rPr>
          <t xml:space="preserve">0321070
</t>
        </r>
      </text>
    </comment>
    <comment ref="E21" authorId="0">
      <text>
        <r>
          <rPr>
            <sz val="8"/>
            <color indexed="8"/>
            <rFont val="Tahoma"/>
            <family val="2"/>
          </rPr>
          <t xml:space="preserve">0325250
</t>
        </r>
      </text>
    </comment>
    <comment ref="E23" authorId="0">
      <text>
        <r>
          <rPr>
            <sz val="8"/>
            <color indexed="8"/>
            <rFont val="Tahoma"/>
            <family val="2"/>
          </rPr>
          <t xml:space="preserve">0321323
</t>
        </r>
      </text>
    </comment>
    <comment ref="E24" authorId="0">
      <text>
        <r>
          <rPr>
            <sz val="8"/>
            <color indexed="8"/>
            <rFont val="Tahoma"/>
            <family val="2"/>
          </rPr>
          <t xml:space="preserve">0321036
</t>
        </r>
      </text>
    </comment>
    <comment ref="E25" authorId="0">
      <text>
        <r>
          <rPr>
            <sz val="8"/>
            <color indexed="8"/>
            <rFont val="Tahoma"/>
            <family val="2"/>
          </rPr>
          <t xml:space="preserve">0321036
</t>
        </r>
      </text>
    </comment>
    <comment ref="E26" authorId="0">
      <text>
        <r>
          <rPr>
            <sz val="8"/>
            <color indexed="8"/>
            <rFont val="Tahoma"/>
            <family val="2"/>
          </rPr>
          <t xml:space="preserve">0321335
</t>
        </r>
      </text>
    </comment>
    <comment ref="E29" authorId="0">
      <text>
        <r>
          <rPr>
            <sz val="8"/>
            <color indexed="8"/>
            <rFont val="Tahoma"/>
            <family val="2"/>
          </rPr>
          <t xml:space="preserve">0321024
</t>
        </r>
      </text>
    </comment>
    <comment ref="E30" authorId="0">
      <text>
        <r>
          <rPr>
            <sz val="8"/>
            <color indexed="8"/>
            <rFont val="Tahoma"/>
            <family val="2"/>
          </rPr>
          <t xml:space="preserve">0321022
</t>
        </r>
      </text>
    </comment>
    <comment ref="E31" authorId="0">
      <text>
        <r>
          <rPr>
            <sz val="8"/>
            <color indexed="8"/>
            <rFont val="Tahoma"/>
            <family val="2"/>
          </rPr>
          <t xml:space="preserve">0321030
</t>
        </r>
      </text>
    </comment>
    <comment ref="E32" authorId="0">
      <text>
        <r>
          <rPr>
            <sz val="8"/>
            <color indexed="8"/>
            <rFont val="Tahoma"/>
            <family val="2"/>
          </rPr>
          <t xml:space="preserve">0321027
</t>
        </r>
      </text>
    </comment>
    <comment ref="E33" authorId="0">
      <text>
        <r>
          <rPr>
            <sz val="8"/>
            <color indexed="8"/>
            <rFont val="Tahoma"/>
            <family val="2"/>
          </rPr>
          <t xml:space="preserve">0321034
</t>
        </r>
      </text>
    </comment>
    <comment ref="E34" authorId="0">
      <text>
        <r>
          <rPr>
            <sz val="8"/>
            <color indexed="8"/>
            <rFont val="Tahoma"/>
            <family val="2"/>
          </rPr>
          <t xml:space="preserve">0321032
</t>
        </r>
      </text>
    </comment>
    <comment ref="E36" authorId="0">
      <text>
        <r>
          <rPr>
            <sz val="8"/>
            <color indexed="8"/>
            <rFont val="Tahoma"/>
            <family val="2"/>
          </rPr>
          <t xml:space="preserve">0321031
</t>
        </r>
      </text>
    </comment>
    <comment ref="E37" authorId="0">
      <text>
        <r>
          <rPr>
            <sz val="8"/>
            <color indexed="8"/>
            <rFont val="Tahoma"/>
            <family val="2"/>
          </rPr>
          <t xml:space="preserve">0321040
</t>
        </r>
      </text>
    </comment>
    <comment ref="E39" authorId="0">
      <text>
        <r>
          <rPr>
            <sz val="8"/>
            <color indexed="8"/>
            <rFont val="Tahoma"/>
            <family val="2"/>
          </rPr>
          <t xml:space="preserve">0321320
</t>
        </r>
      </text>
    </comment>
    <comment ref="E40" authorId="0">
      <text>
        <r>
          <rPr>
            <sz val="8"/>
            <color indexed="8"/>
            <rFont val="Tahoma"/>
            <family val="2"/>
          </rPr>
          <t xml:space="preserve">0325220
</t>
        </r>
      </text>
    </comment>
    <comment ref="E41" authorId="0">
      <text>
        <r>
          <rPr>
            <sz val="8"/>
            <color indexed="8"/>
            <rFont val="Tahoma"/>
            <family val="2"/>
          </rPr>
          <t xml:space="preserve">0321038
</t>
        </r>
      </text>
    </comment>
    <comment ref="E43" authorId="0">
      <text>
        <r>
          <rPr>
            <sz val="8"/>
            <color indexed="8"/>
            <rFont val="Tahoma"/>
            <family val="2"/>
          </rPr>
          <t xml:space="preserve">0325380
</t>
        </r>
      </text>
    </comment>
    <comment ref="E44" authorId="0">
      <text>
        <r>
          <rPr>
            <sz val="8"/>
            <color indexed="8"/>
            <rFont val="Tahoma"/>
            <family val="2"/>
          </rPr>
          <t xml:space="preserve">0325380
</t>
        </r>
      </text>
    </comment>
    <comment ref="E52" authorId="0">
      <text>
        <r>
          <rPr>
            <sz val="8"/>
            <color indexed="8"/>
            <rFont val="Tahoma"/>
            <family val="2"/>
          </rPr>
          <t xml:space="preserve">0325240
</t>
        </r>
      </text>
    </comment>
    <comment ref="E56" authorId="0">
      <text>
        <r>
          <rPr>
            <sz val="8"/>
            <color indexed="8"/>
            <rFont val="Tahoma"/>
            <family val="2"/>
          </rPr>
          <t xml:space="preserve">0321025
</t>
        </r>
      </text>
    </comment>
  </commentList>
</comments>
</file>

<file path=xl/sharedStrings.xml><?xml version="1.0" encoding="utf-8"?>
<sst xmlns="http://schemas.openxmlformats.org/spreadsheetml/2006/main" count="1215" uniqueCount="675">
  <si>
    <t>Паспорт государственного областного казенного учреждения - центра социальной поддержки населения</t>
  </si>
  <si>
    <t>Государственное областное казенное учреждение "Снежногорский межрайонный центр социальной поддержки населения"</t>
  </si>
  <si>
    <t>На 01 января 2021 года</t>
  </si>
  <si>
    <t>Разделы:</t>
  </si>
  <si>
    <t>1.</t>
  </si>
  <si>
    <t>Общие сведения</t>
  </si>
  <si>
    <t>2.</t>
  </si>
  <si>
    <t xml:space="preserve">Сведения об оказании государственных услуг </t>
  </si>
  <si>
    <t>3.</t>
  </si>
  <si>
    <t xml:space="preserve">Сведения о  персонале </t>
  </si>
  <si>
    <t>4.</t>
  </si>
  <si>
    <t xml:space="preserve">Сведения о руководящих работниках </t>
  </si>
  <si>
    <t>5.</t>
  </si>
  <si>
    <t xml:space="preserve">Сведения об инфраструктуре  </t>
  </si>
  <si>
    <t>6.</t>
  </si>
  <si>
    <t xml:space="preserve">Сведения об оборудовании </t>
  </si>
  <si>
    <t>7.</t>
  </si>
  <si>
    <t>Сведения о потреблении коммунальных услуг</t>
  </si>
  <si>
    <t>8.</t>
  </si>
  <si>
    <t xml:space="preserve">Сведения о стоимости и износе материальных средств </t>
  </si>
  <si>
    <t>9.</t>
  </si>
  <si>
    <t xml:space="preserve">Сведения о расходах </t>
  </si>
  <si>
    <t>10.</t>
  </si>
  <si>
    <t>Предписания надзорных органов</t>
  </si>
  <si>
    <t>ГОКУ "Снежногорский межрайонный центр социальной поддержки населения"</t>
  </si>
  <si>
    <t>(наименование ГОКУ)</t>
  </si>
  <si>
    <t>Наименование учреждения в соответствии с Уставом</t>
  </si>
  <si>
    <t>Предмет деятельности учреждения</t>
  </si>
  <si>
    <t>Предоставление населению государственной социальной помощи, субсидий на оплату жилого помещения и коммунальных услуг и мер социальной поддержки на обслуживаемой  территории в соответствии с законодательством Российской Федерации и законодательством Мурманской области</t>
  </si>
  <si>
    <t>Учредитель</t>
  </si>
  <si>
    <t>Министерство труда и  социального развития Мурманской области</t>
  </si>
  <si>
    <t>Юридический адрес учреждения</t>
  </si>
  <si>
    <t>184682, г.Снежногорск-2, ул.П.Стеблина, д.10</t>
  </si>
  <si>
    <t>Фактический адрес учреждения</t>
  </si>
  <si>
    <t>Телефон/Факс</t>
  </si>
  <si>
    <t>(81530)60-619/60-619</t>
  </si>
  <si>
    <t>E-mail</t>
  </si>
  <si>
    <t>Snegnogorsk@socmurman.ru</t>
  </si>
  <si>
    <t>Адрес интерент-страницы ГОКУ в сети Интернет</t>
  </si>
  <si>
    <t>нет</t>
  </si>
  <si>
    <t>Ф.И.О директора</t>
  </si>
  <si>
    <t>Гарагуля Ольга Николаевна</t>
  </si>
  <si>
    <t>Телефон директора</t>
  </si>
  <si>
    <t>(81530)60-615</t>
  </si>
  <si>
    <t>Ф.И.О заместителя директора</t>
  </si>
  <si>
    <t xml:space="preserve">Жирнова Лилия Николаевна </t>
  </si>
  <si>
    <t>Телефон</t>
  </si>
  <si>
    <t>(81530)609-57</t>
  </si>
  <si>
    <t>Ф.И.О главного бухгалтера</t>
  </si>
  <si>
    <t>Зубченко Оксана Викторвна</t>
  </si>
  <si>
    <t>(81530)63-630</t>
  </si>
  <si>
    <t>Год создания учреждения</t>
  </si>
  <si>
    <t>Занимаемые площади (кв.м):</t>
  </si>
  <si>
    <t>Документы, дающие право деятельности</t>
  </si>
  <si>
    <t>Устав (сведения об утверждении)</t>
  </si>
  <si>
    <t>Устав</t>
  </si>
  <si>
    <t>Свительство о государственной регистрации юр.лица (ОГРН)</t>
  </si>
  <si>
    <t>Свидетельство о постановке на учет юр.лица в налоговом органе (ИНН)</t>
  </si>
  <si>
    <t>Свидетельство о государственной регистрации права оперативного управления на недвижимое имущество (дата, номер, срок действия)</t>
  </si>
  <si>
    <t>Свидетельство о государственной регистрации права 51-АВ 282537 от 05.12.2011г. бессрочно;                               Свидетельство о государственной регистрации права 51-АВ 282538 от 05.12.2011г. бессрочно;  Свидетельство о государственной регистрации права 51-АГ 022275 от 25.01.2016г. бессрочно;       Свидетельство о государственной регистрации права 51-АГ 022276 от 26.01.2016г. бессрочно.</t>
  </si>
  <si>
    <t>Договор, подверждающий право на владение, пользование имуществом (дата, номер, срок действия)</t>
  </si>
  <si>
    <t>Свидетельство о государственной регистрации права постоянного (бессрочного) пользования земельным участком (дата, номер)</t>
  </si>
  <si>
    <t>Сведения о структурных подразделениях</t>
  </si>
  <si>
    <t>Количество структурных подразделений</t>
  </si>
  <si>
    <t>-</t>
  </si>
  <si>
    <t xml:space="preserve">Наименование структурных подразделений </t>
  </si>
  <si>
    <t>Адрес структурного подразделения</t>
  </si>
  <si>
    <t>Адрес в сети Интернет</t>
  </si>
  <si>
    <t>Ф.И.О. руководителя структурного подразделения</t>
  </si>
  <si>
    <t>Телефон руководителя структурного подразделения</t>
  </si>
  <si>
    <t>Сведения о реализуемых проектах</t>
  </si>
  <si>
    <t>Наименование проекта (программы)</t>
  </si>
  <si>
    <t>Уровень утверждения (областной, муниципальный, ведомственый, межведомственный др.)</t>
  </si>
  <si>
    <t>период реализации</t>
  </si>
  <si>
    <t>соисполнители</t>
  </si>
  <si>
    <t>Финансовые ресурсы, всего, (тыс.руб.)</t>
  </si>
  <si>
    <t>Источники финансирования (областной бюджет, грантовые средства, спонсорские средства и др.)</t>
  </si>
  <si>
    <t>Сведения об обслуживаемой территории</t>
  </si>
  <si>
    <t>Общая площадь, обслуживаемая учреждением (кв.км)</t>
  </si>
  <si>
    <t>Административное деление</t>
  </si>
  <si>
    <t>ЗАТО Заозерск, ЗАТО Видяево, ЗАТО Александровск (г.Гаджиево, г.Полярный, г.Снежногорск)</t>
  </si>
  <si>
    <t>Сведения об обслуживаемом  населении</t>
  </si>
  <si>
    <t>Численность  населения, проживающего на обслуживаемой территории, всего (тыс. чел.)</t>
  </si>
  <si>
    <t>В том числе:</t>
  </si>
  <si>
    <t>мужчин *</t>
  </si>
  <si>
    <t>женщин*</t>
  </si>
  <si>
    <t>детей до 18 лет</t>
  </si>
  <si>
    <t>*- информация платная, стоимость справки 130 руб. По ЗАТО статистика направляет информацию только по закрытым каналам связи.</t>
  </si>
  <si>
    <t>Сведения об оказании государственных услуг</t>
  </si>
  <si>
    <t>Предоставлемые услуги</t>
  </si>
  <si>
    <t>Основание предоставления услуги (НПА)</t>
  </si>
  <si>
    <t>Численность получателей ( семей, человек)</t>
  </si>
  <si>
    <t>Расходы (рублей)</t>
  </si>
  <si>
    <t>Предоставление малоимущим семьям и малоимущим одиноко проживающим гражданам адресной государственной социальной помощи</t>
  </si>
  <si>
    <t xml:space="preserve">Закон Мурманской  области от 23.12.2004 № 549-01-ЗМО "О государственной социальной помощи в Мурманской области" </t>
  </si>
  <si>
    <t>Предоставление неработающим пенсионерам региональной социальной доплаты к пенсии до величины прожиточного минимума</t>
  </si>
  <si>
    <t>Предоставление социальной поддержки малоимущим семьям, имеющим детей,  в виде ежемесячного пособия на ребенка</t>
  </si>
  <si>
    <t>Предоставление отдельным категориям граждан из числа региональных льготников мер социальной поддержки в виде региональной ежемесячной денежной выплаты, в т.ч.:</t>
  </si>
  <si>
    <t>Закон Мурманской  области от 23.12.2004 № 550-01-ЗМО "О мерах социальной поддержки отдельных категорий граждан"</t>
  </si>
  <si>
    <t>ветеранам труда и лицам, приравненным к ним по состоянию на 31.12.2004</t>
  </si>
  <si>
    <t>труженикам тыла</t>
  </si>
  <si>
    <t>реабилитированным лицам и лицам, признанным пострадавщими от политических репрессий</t>
  </si>
  <si>
    <t>пенсионерам по старости - не льготникам (женщины с 55 лет, мужчины с 60 лет)</t>
  </si>
  <si>
    <t>Предоставление ежемесячной жилищно-коммунальной выплаты, в т.ч.:</t>
  </si>
  <si>
    <t>Возмещение стоимости услуг, связанных с погребением реабилитированных лиц</t>
  </si>
  <si>
    <t>Возмещение стоимости услуг по установке квартирных телефонов реабилитированным лицам</t>
  </si>
  <si>
    <t>Выплата разницы в стоимости единого социального проездного билета и суммы ЕДВ, размер которой ниже стоимости ЕСПБ</t>
  </si>
  <si>
    <t>постановление Правительства Мурманской области от 06.03.2007 № 114-ПП "Об утверждении Порядка финансирования и выплаты разницы в стоимости единого социального проездного билета и суммы ежемесячной денежной выплаты отдельным категориям граждан Мурманской области</t>
  </si>
  <si>
    <t>Предоставление ежемесячной жилищно-коммунальной выплаты отдельны категориям граждан из числа федеральных льготников, в том числе:</t>
  </si>
  <si>
    <t>Закон Мурманской области от 29.06.2009 № 1116-01-ЗМО "О реализации переданных РФ субъектам РФ полномочий по предоставлению мер социальной поддержки отдельным категориям граждан по оплате ЖКУ"</t>
  </si>
  <si>
    <t xml:space="preserve"> - компенсации расходов на уплату взноса на капитальный ремонт отдельным категориям граждан</t>
  </si>
  <si>
    <t xml:space="preserve">Предоставление ежемесячной коммунальной выплаты многодетным семьям </t>
  </si>
  <si>
    <t>Закон Мурманской  области от 27.12.2004 № 567-01-ЗМО "О мерах социальной поддержки многодетных семей по оплате коммунальных услуг"</t>
  </si>
  <si>
    <t>Ежегодная единовременная денежная выплата ветеранам труда Мурманской области</t>
  </si>
  <si>
    <t>Закон Мурманской области от 26.10.2007 № 895-01-ЗМО "О ветеранах труда Мурманской области"</t>
  </si>
  <si>
    <t>Компенсация расходов на оплату стоимости проезда один раз в два года к месту отдыха и обратно ветеранам труда Мурманской области</t>
  </si>
  <si>
    <t>Предоставление единовременного пособия ветеранам труда Мурманской области при переезде на постоянное место жительства за пределы региона</t>
  </si>
  <si>
    <t>Возмещение расходов на оплату стоимости проезда железнодорожным транспортом в противотуберкулезный санаторий и обратно</t>
  </si>
  <si>
    <t>Закон Мурманской области от 16.06.1997 № 67-01-ЗМО "Об основах организации борьбы с туберкулезом в Мурманской области"</t>
  </si>
  <si>
    <t>Выплата инвалидам (в том числе детям-инвалидам), имеющим транспортные средства в соответствии с медицинскими показаниями,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</t>
  </si>
  <si>
    <t>постановление Правительства Мурманской области от 27.12.2006 № 533-ПП "Об утверждении порядка выплаты инвалидам (в том числе детям-инвалидая), имеющим транспортные средства …"</t>
  </si>
  <si>
    <t>Назначение и выплата регионального единовременного пособия при рождении (усыновлении) одновременно двух и более детей</t>
  </si>
  <si>
    <t>постановление Правительства Мурманской области от 12.01.2011 № 1-ПП "О региональных единовременных пособиях"</t>
  </si>
  <si>
    <t>Назначение и выплата регионального единовременного пособия при поступлении ребенка в первый класс</t>
  </si>
  <si>
    <t>Назначение и выплата регионального единовременного пособия семейным парам, прожившим в зарегистрированном браке не менее 50, 60 и более лет</t>
  </si>
  <si>
    <t>Предосставление региональной единовременной выплаты родителям (усыновителям), награжденным орденом "Родительская слава", многодетным матерям, награжденным почетным знаком Мурманской области "Материнская слава"</t>
  </si>
  <si>
    <t xml:space="preserve">постановление Правительства Мурманской области от 05.08.2010 № 347-ПП "О региональное единовременной выплате к Международному дню семьи лицам, награжденным орденом "Родительская слава", многодетным матерям, награжденным почетным знаком Мурманской области </t>
  </si>
  <si>
    <t>Единовременная денежная выплата гражданам, родившимся в период с 23 июня 1923 года по 3 сентября 1945 года</t>
  </si>
  <si>
    <t>постановление Правительства Мурманской области от 11.01.2008 № 3-ПП "О дополнительных мерах социальной поддержки отдельных категорий граждан"</t>
  </si>
  <si>
    <t>Единовременная денежная выплата ветеранам в связи с празднованием Дня Победы в Великой Отечественной войне 1941-1945гг.</t>
  </si>
  <si>
    <t>постановление Правительства Мурманской области от 12.02.2008 № 49-ПП/2 "О дополнительных мерах социальной поддержки отдельных категорий ветеранов и членов их семей"</t>
  </si>
  <si>
    <t>Единовременная денежная выплата в связи с празднованием разгрома немецко-фашистских войск в Заполярье</t>
  </si>
  <si>
    <t>Единовременная денежная выплата в связи с празднованием Дня защитника Отечества</t>
  </si>
  <si>
    <t xml:space="preserve">Предоставление региональной единовременной выплаты семьям, имеющим детей больных фенилкетонурией </t>
  </si>
  <si>
    <t>постановление Правительства Мурманской области от 12.05.2011 № 232-ПП "О предоставлении региональной единовременной выплаты семьям, имеющим детей, больных фенилкетонурией"</t>
  </si>
  <si>
    <t xml:space="preserve">Возмещение и компенсация расходов по предоставлению мер социальной поддержки Героям Советского Союза, Героям Российской Федерации и полным кавалерам ордена Славы, Героям Социалистического Труда и полным кавалерам ордена Трудовой Славы и проживающим совместно </t>
  </si>
  <si>
    <t>постановление Правительства Мурманской области от 11.02.2007 № 221-ПП</t>
  </si>
  <si>
    <t>Предоставление гражданам субсидий на оплату жилых помещений и коммунальных услуг</t>
  </si>
  <si>
    <t>постановление Правительства Российской Федерации от 14.12.2005 № 761 "О предоставлении субсидий на оплату жилого помещения и коммунальных услуг"</t>
  </si>
  <si>
    <t>Предоставление ежегодной денежной выплаты гражданам, награжденным нагрудным знаком "Почетный донор России" или "Почетный донор СССР"</t>
  </si>
  <si>
    <t>Закон Российской Федерации от 09.06.1993 № 5142-1 "О донорстве крови и ее компонентов"</t>
  </si>
  <si>
    <t>Назначение и выплата социального пособия на погребение</t>
  </si>
  <si>
    <t>Федеральный закон от 19.05.1995 № 81-ФЗ "О государственных пособиях гражданам, имеющим детей"</t>
  </si>
  <si>
    <t>Назначение и выплата единовременного пособия женщинам, вставшим на учет в медицинские учреждения в ранние сроки беременности (до двенадцати недель)</t>
  </si>
  <si>
    <t>Назначение и выплата единовременного пособия при рождении ребенка, родители которого либо лицо, их заменяющее, не работают (не служат)</t>
  </si>
  <si>
    <t>Назначение и выплата ежемесячного пособия по уходу за ребенком гражданам, фактически осуществляющим уход за ребенком и не подлежащим социальному страхованию на случай временной нетрудоспособности</t>
  </si>
  <si>
    <t xml:space="preserve">Назначени и выплата ежемесячного пособия по уходу за ребенком гражданам, фактически осуществляющим уход за ребенком, уволенным в период отпуска по уходу за ребенком в связи с ликвидацией </t>
  </si>
  <si>
    <t>Назначение и выплата ежемесячного пособия на ребенка военнослужащего, проходящего военную службу по призыву</t>
  </si>
  <si>
    <t>Назначение и выплата единовременного пособия на ребенка военнослужащего, проходящего военную службу по призыву</t>
  </si>
  <si>
    <t xml:space="preserve">Назначение и выплата пособия по беременности и родам женщинам, уволенным в связи с ликвидацией организаций </t>
  </si>
  <si>
    <t>Ежемесячные компенсационные выплаты нетрудоустроенным женщинам, имеющим детей в возрасте до трех лет, уволенным в связи с ликвидацией организации</t>
  </si>
  <si>
    <t xml:space="preserve">Указ Президента РФ от 05.11.1992 № 1335;
письмо Министерства финансов РФ от 11.03.1993 № 23 (регистрация в Минюсте РФ)
</t>
  </si>
  <si>
    <t xml:space="preserve">Пособия гражданам, у которых возникли поствакцинальные осложнения: </t>
  </si>
  <si>
    <t>Федеральный закон от 17.09.1998 № 157-ФЗ "Об иммунопрофилактике инфекционных болезней"</t>
  </si>
  <si>
    <t xml:space="preserve">государственное единовременное пособие гражданам, у которых возникли поствакцинальные осложнения </t>
  </si>
  <si>
    <t>ежемесячная денежная выплата гражданам, признанным инвалидами вследствие поствакционального осложнения</t>
  </si>
  <si>
    <t>Пособие на проведение летнего оздоровительного отдыха детей</t>
  </si>
  <si>
    <t>Постановление Правительства Российской Федерации от 29.12.2008 № 1051 "О порядке предоставления пособий на проведение летнего оздоровительного отдыха детей отдельных категорий военнослужащих ..."</t>
  </si>
  <si>
    <t>Социальная поддержка граждан подвергшихся воздействию радиации</t>
  </si>
  <si>
    <t xml:space="preserve">Закон РФ от 15.05.1991 N 1244-1 "О социальной защите граждан, подвергшихся воздействию радиации вследствие катастрофы на Чернобыльской АЭС") Федеральный закон от 10.01.2002 N 2-ФЗ "О социальных гарантиях гражданам, подвергшимся радиационному воздействию вследствие ядерных испытаний на Семипалатинском полигоне" 
</t>
  </si>
  <si>
    <t>Ежемесячное пособие детям военнослужащих и сотрудников некоторых федеральных органов исполнительной власти, погибших (умерших), пропавших без вести при исполнении обязанностей военной службы (служебных обязанностей) по контракту</t>
  </si>
  <si>
    <t>Постановление Правительства РФ от 30.06.2010 N 481 "О ежемесячном пособии детям военнослужащих и сотрудников некоторых федеральных органов исполнительной власти, погибших (умерших), пропавших без вести при исполнении обязанностей военной службы (служебных обязанностей)"</t>
  </si>
  <si>
    <t>Ежемесячная денежная выплата нуждающимся в поддержке семьям при рождении третьего и последующих детей до достижения ребенком возраста трех лет</t>
  </si>
  <si>
    <t>постановление Правительства Мурманской области от 01.08.2012 № 393-ПП- "О предоставлении ежемесячой денежной выплаты нуждающимся в поддержке семьям при рождении третьего и последующих детей до достижения ребенком возраста трех лет"</t>
  </si>
  <si>
    <t>Выдача сертификатов на региональный материнский (семейный) капитал для реализации дополнительных мер социаьной поддержки</t>
  </si>
  <si>
    <t>Закон Мурманской области от 19.12.2011 № 1447-01-ЗМО "О дополнительных мерах социальной поддержки семей с детьми в Мурманской области"</t>
  </si>
  <si>
    <t>Распоряжение средствами (частью средств) регионального материнского (семейного) капитала в Мурманской области</t>
  </si>
  <si>
    <t>постановление Правительства Мурманской области от 23.11.2012 № 589-ПП- "О порядке распоряжения средствами (частью средств) регионального материнского (семейного) капитала в Мурманской области</t>
  </si>
  <si>
    <t>Компенсация раходов, связанных с приобретением протезно-ортопедических изделий отдельными категориями граждан, не являющихся  инвалидами и нуждающимися  в протезно-ортопедической помощи.</t>
  </si>
  <si>
    <t>Постановление Правительства Мурманской области от 14.08.2012 № 407-ПП "О компенсации раходов, связанных с приобретением протезно-ортопедических изделий отдельными категориями граждан, не являющихся  инвалидами и нуждающимися  в протезно-ортопедической помощи".</t>
  </si>
  <si>
    <t xml:space="preserve">Ежемесячная выплата в связи с рождением (усыновлением) первого  ребенка </t>
  </si>
  <si>
    <t>Федеральный закон N418-ФЗ от 28.12.2017</t>
  </si>
  <si>
    <t xml:space="preserve">Ежемесячная денежная выплата при рождении первого ребенка до достижения возраста полутора лет </t>
  </si>
  <si>
    <t xml:space="preserve"> Закон Мурманской области №2216-01-ЗМО от 22.12.2017</t>
  </si>
  <si>
    <t xml:space="preserve">Назначение ежемесячной денежной выплаты   на ребенка в возрасте от 3 до 7 лет включительно </t>
  </si>
  <si>
    <t>Закон  Мурманской области от 10.04.2020 N 2475-01-ЗМО "О ежемесячной денежной выплате на ребенка в возрасте от трех до семи лет включительно"</t>
  </si>
  <si>
    <t>Чествование ветеранов ВОВ</t>
  </si>
  <si>
    <t xml:space="preserve">Постановление Правительства Мурманской области от 18.04.2013 N 197-ПП "Об организации чествования ветеранов Великой Отечественной войны в вязи с юбилейными днями рождения"
</t>
  </si>
  <si>
    <t>Выплата инвалидам компенсации по договорам страхования транспортных средств</t>
  </si>
  <si>
    <t>Постановление Правительства Мурманской области от 27.12.2006 N 533-ПП "Об утверждении Порядка выплаты инвалидам (в том числе детям-инвалидам), имеющим транспортные средства в соответствии с медицинскими показаниями, или их законным представителям компенсации уплаченной ими страховой премии по договору обязательного страхования гражданской ответственности владельцев транспортных средств"</t>
  </si>
  <si>
    <t>Ежемесячная денежная выплата на оплату жилого помещения и коммунальных услуг гражданам, родившимся в период с 23.06.1923 по 03.09.1945</t>
  </si>
  <si>
    <t>Закон Мурманской области от 24.02.2016 N 1963-01-ЗМО "О компенсации расходов на уплату взноса на капитальный ремонт отдельным категориям граждан"</t>
  </si>
  <si>
    <t>Закон Мурманской области от 06.12.2019 N 2431-01-ЗМО "О детях Великой Отечественной войны в Мурманской области"</t>
  </si>
  <si>
    <t>Предоставления ежемесячной денежной выплаты на оплату жилого помещения и (или) коммунальных услуг  бывшим специалистам, работающим в сельских населенных пунктах</t>
  </si>
  <si>
    <t>Закон Мурманской области от 27.12.2004 N 561-01-ЗМО "О мерах социальной поддержки отдельных категорий граждан, работающих в сельских населенных пунктах или поселках городского типа"</t>
  </si>
  <si>
    <t>Прием документов и подготовка ходатайств для оказания материальной помощи пенсионерам, оказавшимся в трудной жизненной ситуации</t>
  </si>
  <si>
    <t>постановление Правительства Мурманской области от 16.03.2009 № 123-ПП «О материальной помощи пенсионерам и инвалидам, оказавшимся в трудной жизненной ситуации»</t>
  </si>
  <si>
    <t>Прием документов и подготовка ходатайств для оказания материальной помощи инвалидам, оказавшимся в трудной жизненной ситуации</t>
  </si>
  <si>
    <t>Выдача справок о  назначении государственной социальной помощи</t>
  </si>
  <si>
    <t xml:space="preserve">Приказ Министерства социального развития Мурманской области от 11.12.2018 N 571 </t>
  </si>
  <si>
    <t xml:space="preserve">Присвоение звания ветеран труда </t>
  </si>
  <si>
    <t>Приказ Минсоцразвития Мурманской области от 27.06.2016 N 463
"Об утверждении административного регламента Министерства труда и социального развития Мурманской области по предоставлению государственной услуги "Присвоение звания "Ветеран труда" и выдача удостоверения ветерана труда"</t>
  </si>
  <si>
    <t>Выдача удостоверения ветеран  труда</t>
  </si>
  <si>
    <t>Присвоение звания ветеран труда  МО</t>
  </si>
  <si>
    <t>Приказ Минтрудсоцразвития Мурманской области от 27.12.2013 N 732
"Об утверждении административного регламента Министерства труда и социального развития Мурманской области по предоставлению государственной услуги "Организация работы по установлению статуса ветерана труда Мурманской области"</t>
  </si>
  <si>
    <t>Выдача удостоверения ветеран  труда МО</t>
  </si>
  <si>
    <t>Установление статуса ветерана Великой Отечественной войны, ветерана боевых действий, иных категорий граждан, установленных Федеральным законом «О ветеранах», бывшего несовершеннолетнего узника концлагерей, гетто и других мест принудительного содержания, созданных фашистами и их союзниками в период второй мировой войны, и выдаче соответствующих удостоверений</t>
  </si>
  <si>
    <t xml:space="preserve">Приказ Министерства труда и социального развития Мурманской области  от 14.10.2020 № 613
</t>
  </si>
  <si>
    <t>Оформление и выдача удостоверения отдельным категориям граждан, получивших или перенесших лучевую болезнь и другие заболевания, связанные с радиационным воздействием вследствие чернобыльской кататсрофы или с работами по ликвидации последствий катастрофы на Чернобыльской АЭС; инвалидов вследствие чернобыльской катастрофы</t>
  </si>
  <si>
    <t>Закон РФ от 15.05.1991 № 1244-1; приказ МЧС РФ, Минздравсоцразвития РФ, Минфина РФ от 08.12.2006 № 728/832/166н</t>
  </si>
  <si>
    <t>Расчет размеров компенсационных выплат в связи с расходами по оплате жилых помещений, коммунальных и других видов услуг членам семей погибших (умерших) военнослужащих и сотрудников некоторых федеральных органов исполнительной власти</t>
  </si>
  <si>
    <t>Постановление Правительства РФ от 02.08.2005 N 475 "О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</t>
  </si>
  <si>
    <t>Ежемесячная денежная компенсация, установленная частями 9, 10 и 13 статьи 3 ФЗ "О денежном довольствии военнослужащих и предоставлении им отдельных выплат"</t>
  </si>
  <si>
    <t>постановление Правительства РФ от 22.02.2012 № 142" О финансовом обеспечении и об осуществлении ежемесячной денежной компенсации, установленная частями 9, 10 и 13 статьи 3 ФЗ "О денежном довольствии военнослужащих и предоставлении им отдельных выплат"</t>
  </si>
  <si>
    <t>Оформление и выдача удостоверения участника ликвидации последствий катастрофы на Чернобыльской АЭС</t>
  </si>
  <si>
    <t xml:space="preserve">Закон РФ от 15.05.1991 № 1244-1;
приказ МЧС РФ, Минздравсоцразвития РФ, Минфина РФ от 08.12.2006 № 727/831/165н
</t>
  </si>
  <si>
    <t xml:space="preserve">Сведения о персонале </t>
  </si>
  <si>
    <t>№ п/п</t>
  </si>
  <si>
    <t>Параметр</t>
  </si>
  <si>
    <t>Ед. измерения</t>
  </si>
  <si>
    <t>Данные на 01.01.2009, 01.11.2009</t>
  </si>
  <si>
    <t>Данные на 01.01.2010</t>
  </si>
  <si>
    <t>Данные на 01.01.2011</t>
  </si>
  <si>
    <t>Данные на 01.01.2012</t>
  </si>
  <si>
    <t>Данные на 01.01.2013</t>
  </si>
  <si>
    <t>Данные на 01.01.2014</t>
  </si>
  <si>
    <t>Данные на 01.07.2014</t>
  </si>
  <si>
    <t>Данные на 01.01.2015</t>
  </si>
  <si>
    <t>данные на 01.07.2015</t>
  </si>
  <si>
    <t>Данные на 01.01.2016</t>
  </si>
  <si>
    <t>данные на 01.07.2016</t>
  </si>
  <si>
    <t>данные на 01.01.2017</t>
  </si>
  <si>
    <t>данные на 01.07.2017</t>
  </si>
  <si>
    <t>данные на 01.01.2018</t>
  </si>
  <si>
    <t>данные на 01.07.2018</t>
  </si>
  <si>
    <t>данные на 01.01.2019</t>
  </si>
  <si>
    <t>данные на 01.07.2019</t>
  </si>
  <si>
    <t>данные на 01.01.2020</t>
  </si>
  <si>
    <t>данные на 01.07.2020</t>
  </si>
  <si>
    <t>Физические лица</t>
  </si>
  <si>
    <t>чел.</t>
  </si>
  <si>
    <t>руководящие работники, в т.ч.</t>
  </si>
  <si>
    <t>директор</t>
  </si>
  <si>
    <t xml:space="preserve">заместители директора </t>
  </si>
  <si>
    <t>главный бухгалтер</t>
  </si>
  <si>
    <t>руководители структурных подразделений</t>
  </si>
  <si>
    <t>специалисты</t>
  </si>
  <si>
    <t>администратор баз данных</t>
  </si>
  <si>
    <t>юрисконсульт</t>
  </si>
  <si>
    <t>обслуживающий персонал</t>
  </si>
  <si>
    <t>Штатное расписание</t>
  </si>
  <si>
    <t>Всего, из них</t>
  </si>
  <si>
    <t>ставка</t>
  </si>
  <si>
    <t>руководители структурных подрзделений</t>
  </si>
  <si>
    <t>Количество работающих пенсионеров</t>
  </si>
  <si>
    <t>Образовательный уровень</t>
  </si>
  <si>
    <t>имеют высшее образование</t>
  </si>
  <si>
    <t>имеют среднее специальное образование</t>
  </si>
  <si>
    <t>обучаются в ВУЗах, в том числе:</t>
  </si>
  <si>
    <t>получают первое высшее образование</t>
  </si>
  <si>
    <t>получают второе высшее образование</t>
  </si>
  <si>
    <t>получают  третье и последующее высшее образование</t>
  </si>
  <si>
    <t>Стаж работы</t>
  </si>
  <si>
    <t xml:space="preserve"> </t>
  </si>
  <si>
    <t>до 5 лет</t>
  </si>
  <si>
    <t>от 5 до 10 лет</t>
  </si>
  <si>
    <t>от 10 до 20 лет</t>
  </si>
  <si>
    <t>более 20 лет</t>
  </si>
  <si>
    <t>Показатель на отчетную дату</t>
  </si>
  <si>
    <t xml:space="preserve">Руководитель </t>
  </si>
  <si>
    <t>Дата назначения на должность</t>
  </si>
  <si>
    <t>06.11.2009 г.</t>
  </si>
  <si>
    <t>Тип назначения (конкурс, назначение)</t>
  </si>
  <si>
    <t>назначение</t>
  </si>
  <si>
    <t>Сроки последнего контракта</t>
  </si>
  <si>
    <t>на неопределенный срок</t>
  </si>
  <si>
    <t>Наличие совмещения должностей</t>
  </si>
  <si>
    <t>4.1.</t>
  </si>
  <si>
    <t>Наименование совмещаемой должности</t>
  </si>
  <si>
    <t>Сведения о поощрениях, награждениях (за период с начала года)</t>
  </si>
  <si>
    <t>Сведения о взысканиях (за период с начала года, а также не снятых взысканиях на отчетную дату)</t>
  </si>
  <si>
    <t>Заместитель руководителя*</t>
  </si>
  <si>
    <t>01.03.2013 г.</t>
  </si>
  <si>
    <t xml:space="preserve">не определенный срок </t>
  </si>
  <si>
    <t>Наличие категории</t>
  </si>
  <si>
    <t>11.</t>
  </si>
  <si>
    <t>Дата присвоения</t>
  </si>
  <si>
    <t>12.</t>
  </si>
  <si>
    <t>Срок действия</t>
  </si>
  <si>
    <t xml:space="preserve">Сведения об инфраструктуре </t>
  </si>
  <si>
    <t>Ед.измерения</t>
  </si>
  <si>
    <t xml:space="preserve">Показатель на отчетную дату </t>
  </si>
  <si>
    <t>Здание</t>
  </si>
  <si>
    <t>Количество зданий</t>
  </si>
  <si>
    <t>ед.</t>
  </si>
  <si>
    <t>Площадь зданий</t>
  </si>
  <si>
    <t>м.кв.</t>
  </si>
  <si>
    <t>общая</t>
  </si>
  <si>
    <t>полезная</t>
  </si>
  <si>
    <t>отапливаемая</t>
  </si>
  <si>
    <t>занимаемая по договорам аренды</t>
  </si>
  <si>
    <t>сдаваемая в аренду</t>
  </si>
  <si>
    <t>Год постройки</t>
  </si>
  <si>
    <t>Этажность</t>
  </si>
  <si>
    <t>этаж</t>
  </si>
  <si>
    <t>Количество зданий, имеющих водопровод</t>
  </si>
  <si>
    <t>Количество зданий, имеющих канализацию</t>
  </si>
  <si>
    <t>Количество зданий, имеющих отопление:</t>
  </si>
  <si>
    <t>центральное</t>
  </si>
  <si>
    <t>от собственной котельной</t>
  </si>
  <si>
    <t>печное</t>
  </si>
  <si>
    <t>Количество зданий, имеющих централизованное горячее водоснабжение</t>
  </si>
  <si>
    <t>Количество зданий, имеющих электроснабжение</t>
  </si>
  <si>
    <t>Количество зданий снабженных теплосчетчиками</t>
  </si>
  <si>
    <t>Количество теплосчетчиков</t>
  </si>
  <si>
    <t>Количество зданий снабженных водосчетчиками</t>
  </si>
  <si>
    <t>Количество водосчетчиков</t>
  </si>
  <si>
    <t>Количество зданий, оборудованных АПС</t>
  </si>
  <si>
    <t>из них количество зданий, оборудованных неисправной АПС</t>
  </si>
  <si>
    <t>Количество АПС, выведенных на пульт подразделения пожарной охраны</t>
  </si>
  <si>
    <t>Количество зданий, оборудованных системой оповещения и управления эвакуацией людей при пожаре в здании</t>
  </si>
  <si>
    <t>из них количество зданий, оборудованных неисправной  системой оповещения и управления эвакуацией людей при пожаре в здании</t>
  </si>
  <si>
    <t xml:space="preserve">Количество зданий, оборудованных противопожарным водоснабжение здания </t>
  </si>
  <si>
    <t xml:space="preserve">из них количество зданий, оборудованных неисправным противопожарным водоснабжение здания </t>
  </si>
  <si>
    <t>Количество зданий, оборудованных прямой телефонной связью с подразделением пожарной охраны</t>
  </si>
  <si>
    <t>из них количество зданий, оборудованных несиправной прямой телефонной связью с подразделением пожарной охраны</t>
  </si>
  <si>
    <t>Количество зданий, состояние эвакуационных путей и выходов которых соответствуют требованиям пожарной безопасности</t>
  </si>
  <si>
    <t>Количество зданий, состояние эвакуационных путей и выходов которых не соответствуют требованиям пожарной безопасности</t>
  </si>
  <si>
    <t xml:space="preserve">Обеспеченность персонала корпуса (здания) учреждения средствами индивидуальной защиты органов дыхания </t>
  </si>
  <si>
    <t>1 - имееются,                                    2 - отсутствуют,                                               3 - обеспечены в полном объеме</t>
  </si>
  <si>
    <t>Количество нарушений требований пожарной безопасности</t>
  </si>
  <si>
    <t>Удаление от ближайшего пожарного подразделения</t>
  </si>
  <si>
    <t>км</t>
  </si>
  <si>
    <t>Количество зданий, оборудованных внешней системой видеонаблюдения</t>
  </si>
  <si>
    <t>из них количество зданий, оборудованных неисправной внешней системой видеонаблюдения</t>
  </si>
  <si>
    <t>Количество зданий, оборудованных внутренней системой видеонаблюдения</t>
  </si>
  <si>
    <t>из них количество зданий, оборудованных неисправной внутренней системой видеонаблюдения</t>
  </si>
  <si>
    <t>Количество огнетушителей</t>
  </si>
  <si>
    <t>Количество зданий, оборудованных охранной сигнализацией</t>
  </si>
  <si>
    <t>из них количество зданий, оборудованных неисправной охранной сигнализацией</t>
  </si>
  <si>
    <t>Количество зданий, оборудованных КТС</t>
  </si>
  <si>
    <t>из них количество зданий, оборудованных неисправной КТС</t>
  </si>
  <si>
    <t>Наличие охраны:</t>
  </si>
  <si>
    <t>физическая охрана (сторож, вахта)</t>
  </si>
  <si>
    <t>да/нет</t>
  </si>
  <si>
    <t>вневедомственная охрана</t>
  </si>
  <si>
    <t>ЧОП</t>
  </si>
  <si>
    <t>Количество сторожей при наличии физической охраны</t>
  </si>
  <si>
    <t>штат.ед.</t>
  </si>
  <si>
    <t xml:space="preserve">Наличие прямой телефонной связи с </t>
  </si>
  <si>
    <t>МВД</t>
  </si>
  <si>
    <t>находящихся в исправном состоянии</t>
  </si>
  <si>
    <t>признанных ветхими</t>
  </si>
  <si>
    <t>нуждается в реконструкции</t>
  </si>
  <si>
    <t>находится в аварийном состоянии</t>
  </si>
  <si>
    <t>Количество зданий, имеющих периметральное ограждение</t>
  </si>
  <si>
    <t>из них количество зданий, имеющих периметральное ограждение, находящееся в неисправном состоянии</t>
  </si>
  <si>
    <t>Количество зданий, имеющих металлические входные двери в здание</t>
  </si>
  <si>
    <t>Помещения*</t>
  </si>
  <si>
    <t xml:space="preserve">Количество комнат (кабинетов) </t>
  </si>
  <si>
    <t>Их площадь</t>
  </si>
  <si>
    <t>Количество комнат отдыха</t>
  </si>
  <si>
    <t xml:space="preserve">Наличие актового зала </t>
  </si>
  <si>
    <t>Его площадь</t>
  </si>
  <si>
    <t xml:space="preserve">Наличие комнаты дежурного </t>
  </si>
  <si>
    <t>Ее площадь</t>
  </si>
  <si>
    <t>Количество кабинетов управленческого персонала</t>
  </si>
  <si>
    <t>Вспомогательные помещения</t>
  </si>
  <si>
    <t>Гаражи</t>
  </si>
  <si>
    <t>Мастерские</t>
  </si>
  <si>
    <t xml:space="preserve">Другие помещения </t>
  </si>
  <si>
    <t>Земельные участки</t>
  </si>
  <si>
    <t>Количество земельных участков</t>
  </si>
  <si>
    <t>Договор безвоздмезного временного пользования недвижимым муниципальным имуществом № 311 от 01.04.2010г. (Общая площадь 78,6)</t>
  </si>
  <si>
    <t>Договор безвоздмезного временного пользования недвижимым муниципальным имуществом № 307 от 01.11.2009г. (Общая площадь 24,6)</t>
  </si>
  <si>
    <t>Договор безвоздмезного временного пользования недвижимым муниципальным имуществом № 17 от 06.12.2010г. (Общая площадь 47,1)</t>
  </si>
  <si>
    <t>Договор безвоздмезного временного пользования недвижимым муниципальным имуществом № 06/09 от 13.11.2009г. (Общая площадь 91,3)</t>
  </si>
  <si>
    <t>Договор безвоздмезного временного пользования недвижимым муниципальным имуществом № 03/10 от 23.04.2010г. (Общая площадь 60,5)</t>
  </si>
  <si>
    <t>Договор безвоздмезного временного пользования недвижимым муниципальным имуществом № 5 от 15.02.2010г. (Общая площадь 23,3)</t>
  </si>
  <si>
    <t>Сведения об оборудовании</t>
  </si>
  <si>
    <t>Компьютеры</t>
  </si>
  <si>
    <t>Количество ПК</t>
  </si>
  <si>
    <t>шт.</t>
  </si>
  <si>
    <t>Количество ноутбуков</t>
  </si>
  <si>
    <t>Количество серверов</t>
  </si>
  <si>
    <t>Наличие единой локальной сети</t>
  </si>
  <si>
    <t>1-да, 2-нет</t>
  </si>
  <si>
    <t>Количество ПК в сети</t>
  </si>
  <si>
    <t>Наличие подключения к сети Интернет</t>
  </si>
  <si>
    <t>Тип подключения к сети Интернет (наземный, спутниковый)</t>
  </si>
  <si>
    <t>1-наземный,       2-спутниковый</t>
  </si>
  <si>
    <t>Скорость доступа к сети Интернет</t>
  </si>
  <si>
    <t>Мбит/с</t>
  </si>
  <si>
    <t>Количество ПК, имеющих выход в Интернет</t>
  </si>
  <si>
    <t>Автотранспорт</t>
  </si>
  <si>
    <t xml:space="preserve">Количество а/м </t>
  </si>
  <si>
    <t>В них пассажирских мест</t>
  </si>
  <si>
    <t>Количество а/м для хоз.нужд</t>
  </si>
  <si>
    <t>Иная техника</t>
  </si>
  <si>
    <t>Другая техника*</t>
  </si>
  <si>
    <t>* заполняется при наличии</t>
  </si>
  <si>
    <t>Ед. изм.</t>
  </si>
  <si>
    <t>фактически в 2009</t>
  </si>
  <si>
    <t>фактически в 2010</t>
  </si>
  <si>
    <t>фактически в 2011</t>
  </si>
  <si>
    <t>фактически в 2012</t>
  </si>
  <si>
    <t>план на 2013</t>
  </si>
  <si>
    <t>фактически в 2013</t>
  </si>
  <si>
    <t>план на 2014</t>
  </si>
  <si>
    <t>Фактически 2014 год</t>
  </si>
  <si>
    <t>план на 2015</t>
  </si>
  <si>
    <t>Фактически 2015 год</t>
  </si>
  <si>
    <t>план на 2016</t>
  </si>
  <si>
    <t>Фактически 2016 год</t>
  </si>
  <si>
    <t>план на 2017</t>
  </si>
  <si>
    <t>Фактически 2017 год</t>
  </si>
  <si>
    <t>план на 2018</t>
  </si>
  <si>
    <t>Фактически 2018 год</t>
  </si>
  <si>
    <t>план на 2019</t>
  </si>
  <si>
    <t>Фактически 2019 год</t>
  </si>
  <si>
    <t>план на 2020</t>
  </si>
  <si>
    <t>Фактически 2020 год</t>
  </si>
  <si>
    <t>Объемы потребления</t>
  </si>
  <si>
    <t>Холодная вода</t>
  </si>
  <si>
    <t>м.куб.</t>
  </si>
  <si>
    <t>Холодное водоотведение</t>
  </si>
  <si>
    <t>Горячая вода</t>
  </si>
  <si>
    <t>Гкал</t>
  </si>
  <si>
    <t>Отопление</t>
  </si>
  <si>
    <t>Электроэнергия</t>
  </si>
  <si>
    <t>Квт/час</t>
  </si>
  <si>
    <t>Тарифы</t>
  </si>
  <si>
    <t>руб.</t>
  </si>
  <si>
    <t xml:space="preserve">Сведения о стоимости и износе 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</si>
  <si>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</si>
  <si>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</si>
  <si>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</si>
  <si>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</si>
  <si>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</si>
  <si>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</si>
  <si>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</si>
  <si>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 xml:space="preserve"> 2017 год</t>
  </si>
  <si>
    <t>2018 год</t>
  </si>
  <si>
    <t>2019 год</t>
  </si>
  <si>
    <t>Балансовая стоимость зданий*</t>
  </si>
  <si>
    <t>тыс.руб.</t>
  </si>
  <si>
    <t>Фактический физический износ</t>
  </si>
  <si>
    <t>%</t>
  </si>
  <si>
    <t>Оценочная стоимость</t>
  </si>
  <si>
    <t>Техническое состояние зданий</t>
  </si>
  <si>
    <t>4.2.</t>
  </si>
  <si>
    <t>требует реконструкии</t>
  </si>
  <si>
    <t>4.3.</t>
  </si>
  <si>
    <t>требует капитального ремонта</t>
  </si>
  <si>
    <t>Балансовая стоимость основных средств</t>
  </si>
  <si>
    <t>Износ (амортизация) основных средств:</t>
  </si>
  <si>
    <t>6.1.</t>
  </si>
  <si>
    <t>оборудования</t>
  </si>
  <si>
    <t>6.2.</t>
  </si>
  <si>
    <t>мебели</t>
  </si>
  <si>
    <t>6.3.</t>
  </si>
  <si>
    <t>спальной мебели</t>
  </si>
  <si>
    <t>6.4.</t>
  </si>
  <si>
    <t>компьютерной техники и оргтехники</t>
  </si>
  <si>
    <t>6.5.</t>
  </si>
  <si>
    <t>6.6.</t>
  </si>
  <si>
    <t>технологического оборудования</t>
  </si>
  <si>
    <t>6.7.</t>
  </si>
  <si>
    <t>автотранспорта</t>
  </si>
  <si>
    <t>Остаточная стоимость основных средств</t>
  </si>
  <si>
    <t>*</t>
  </si>
  <si>
    <t>Читать вместо "зданий" помещений</t>
  </si>
  <si>
    <t>Износ в таблице указан накопленный.</t>
  </si>
  <si>
    <t>(название ГОКУ)</t>
  </si>
  <si>
    <t>Наименование расходов</t>
  </si>
  <si>
    <t>ЭКР</t>
  </si>
  <si>
    <t>Код строки</t>
  </si>
  <si>
    <t>БР 2010, тыс. руб.</t>
  </si>
  <si>
    <t>Касса 2010, тыс.руб.</t>
  </si>
  <si>
    <t>% испол-нения БР 2010</t>
  </si>
  <si>
    <t>БР 2011, тыс. руб.</t>
  </si>
  <si>
    <t>Касса 2011, тыс.руб.</t>
  </si>
  <si>
    <t>% испол-нения БР 2011</t>
  </si>
  <si>
    <t>БР 2012, тыс. руб.</t>
  </si>
  <si>
    <t>Касса 2012, тыс.руб.</t>
  </si>
  <si>
    <t>% испол-нения БР 2012</t>
  </si>
  <si>
    <t>БР 2013, тыс. руб.</t>
  </si>
  <si>
    <t>Касса 2013, тыс.руб.</t>
  </si>
  <si>
    <t>% испол-нения БР 2013</t>
  </si>
  <si>
    <t>БР 2014, тыс. руб.</t>
  </si>
  <si>
    <t>Касса 2014, тыс.руб.</t>
  </si>
  <si>
    <t>% испол-нения БР 2014</t>
  </si>
  <si>
    <t>БР 2015, тыс. руб.</t>
  </si>
  <si>
    <t>Касса на 2015, тыс.руб.</t>
  </si>
  <si>
    <t>% испол-нения БР 2015</t>
  </si>
  <si>
    <t>БР 2016, тыс. руб.</t>
  </si>
  <si>
    <t>Касса  2016, тыс.руб.</t>
  </si>
  <si>
    <t>% испол-нения БР на 01.01.2017</t>
  </si>
  <si>
    <t>БР 2017, тыс. руб.</t>
  </si>
  <si>
    <t>Касса на 2017, тыс.руб.</t>
  </si>
  <si>
    <t>% испол-нения БР 2017</t>
  </si>
  <si>
    <t>БР 2018, тыс. руб.</t>
  </si>
  <si>
    <t>Касса 2018, тыс.руб.</t>
  </si>
  <si>
    <t>% испол-нения БР 2018</t>
  </si>
  <si>
    <t>БР 2019, тыс. руб.</t>
  </si>
  <si>
    <t>Касса 01.07.2019, тыс.руб.</t>
  </si>
  <si>
    <t>% испол-нения БР 01.07.2019</t>
  </si>
  <si>
    <t>Касса 01.01.2020, тыс.руб.</t>
  </si>
  <si>
    <t>% исполнения БР 01.01.2020</t>
  </si>
  <si>
    <t>БР 2020, тыс. руб.</t>
  </si>
  <si>
    <t>Расходы</t>
  </si>
  <si>
    <t>20000</t>
  </si>
  <si>
    <t>1.1.</t>
  </si>
  <si>
    <t>Оплата труда и начисления на оплату труда</t>
  </si>
  <si>
    <t>1.1.1.</t>
  </si>
  <si>
    <t xml:space="preserve"> Заработная плата, в том числе:  </t>
  </si>
  <si>
    <t>1.1.1.1.</t>
  </si>
  <si>
    <t>выплаты по заработной плате, оплата отпусков, другие выплаты</t>
  </si>
  <si>
    <t>211.01</t>
  </si>
  <si>
    <t>1.1.2.</t>
  </si>
  <si>
    <t xml:space="preserve"> Прочие выплаты, в том числе:  </t>
  </si>
  <si>
    <t>1.1.2.1.</t>
  </si>
  <si>
    <t>командировочные расходы</t>
  </si>
  <si>
    <t>212.01</t>
  </si>
  <si>
    <t>1.1.2.2.</t>
  </si>
  <si>
    <t>Социальные пособия и компенсации персоналу в денежной форме</t>
  </si>
  <si>
    <t>212.02</t>
  </si>
  <si>
    <t>1.1.2.3.</t>
  </si>
  <si>
    <t xml:space="preserve"> другие выплаты по прочим выплатам</t>
  </si>
  <si>
    <t>212.99</t>
  </si>
  <si>
    <t>1.1.3.</t>
  </si>
  <si>
    <t xml:space="preserve"> Начисления на оплату труда</t>
  </si>
  <si>
    <t>Другие выплаты по прочим выплатам</t>
  </si>
  <si>
    <t>1.2.</t>
  </si>
  <si>
    <t>Приобретение услуг</t>
  </si>
  <si>
    <t>1.2.1.</t>
  </si>
  <si>
    <t xml:space="preserve"> Услуги связи, в том числе:       </t>
  </si>
  <si>
    <t>1.2.2.</t>
  </si>
  <si>
    <t xml:space="preserve"> Транспортные услуги, в том числе:</t>
  </si>
  <si>
    <t>1.2.2.1.</t>
  </si>
  <si>
    <t>222.01</t>
  </si>
  <si>
    <t>1.2.2.2.</t>
  </si>
  <si>
    <t>другие расходы по транспортным услугам</t>
  </si>
  <si>
    <t>222.99</t>
  </si>
  <si>
    <t>1.2.3.</t>
  </si>
  <si>
    <t xml:space="preserve"> Коммунальные услуги</t>
  </si>
  <si>
    <t>1.2.4.</t>
  </si>
  <si>
    <t xml:space="preserve"> Арендная плата за пользование имуществом</t>
  </si>
  <si>
    <t>1.2.5.</t>
  </si>
  <si>
    <t xml:space="preserve"> Услуги по содержанию имущества, в том числе:</t>
  </si>
  <si>
    <t>1.2.5.1.</t>
  </si>
  <si>
    <t xml:space="preserve"> содержание в чистоте  помещений, зданий, дворов, иного имущества</t>
  </si>
  <si>
    <t>225.01</t>
  </si>
  <si>
    <t>1.2.5.2.</t>
  </si>
  <si>
    <t xml:space="preserve"> ремонт (текущий и капитальный) и реставрация нефинансовых активов, за исключением недвижимого имущества</t>
  </si>
  <si>
    <t>225.02</t>
  </si>
  <si>
    <t>1.2.5.3.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</si>
  <si>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</si>
  <si>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>225.03</t>
  </si>
  <si>
    <t>1.2.5.4.</t>
  </si>
  <si>
    <t>обеспечение функционирования и поддержка мультисервисных сетей, программно-аппаратных комплексов, вычислительной техники, оргтехники и их техническое обслуживание</t>
  </si>
  <si>
    <t>225.04</t>
  </si>
  <si>
    <t>1.2.5.5.</t>
  </si>
  <si>
    <t xml:space="preserve"> ремонт (текущий и капитальный) и реставрация нефинансовых активов в части недвижимого имущества</t>
  </si>
  <si>
    <t>225.05</t>
  </si>
  <si>
    <t>1.2.5.6.</t>
  </si>
  <si>
    <t>другие расходы по содержанию имущества</t>
  </si>
  <si>
    <t>225.99</t>
  </si>
  <si>
    <t>1.2.6.</t>
  </si>
  <si>
    <t xml:space="preserve"> Прочие услуги, в том числе:</t>
  </si>
  <si>
    <t>1.2.6.1.</t>
  </si>
  <si>
    <t>монтаж и установка локальных вычислительных сетей</t>
  </si>
  <si>
    <t>226.01</t>
  </si>
  <si>
    <t>1.2.6.2.</t>
  </si>
  <si>
    <t>организация питания</t>
  </si>
  <si>
    <t>226.02</t>
  </si>
  <si>
    <t>1.2.6.3.</t>
  </si>
  <si>
    <t>226.03</t>
  </si>
  <si>
    <t>1.2.6.4.</t>
  </si>
  <si>
    <t>226.04</t>
  </si>
  <si>
    <t>1.2.6.5.</t>
  </si>
  <si>
    <t>услуги в области информационных технологий</t>
  </si>
  <si>
    <t>226.05</t>
  </si>
  <si>
    <t>1.2.6.6.</t>
  </si>
  <si>
    <t>монтаж и установка систем охранной и пожарной сигнализации, видеонаблюдения</t>
  </si>
  <si>
    <t>226.06</t>
  </si>
  <si>
    <t>1.2.6.7.</t>
  </si>
  <si>
    <t>другие расходы по прочим работам, услугам</t>
  </si>
  <si>
    <t>226.99</t>
  </si>
  <si>
    <t>Страхование</t>
  </si>
  <si>
    <t>Услуги по установке узла учета электроэнергии</t>
  </si>
  <si>
    <t>1.3.</t>
  </si>
  <si>
    <t xml:space="preserve"> Социальное обеспечение, в том числе:</t>
  </si>
  <si>
    <t>1.3.1.</t>
  </si>
  <si>
    <t>Пенсии, пособия и выплаты по пенсионному,  социальному  и  медицинскому страхованию населения</t>
  </si>
  <si>
    <t>1.3.2.</t>
  </si>
  <si>
    <t xml:space="preserve"> Пособия по социальной помощи населению</t>
  </si>
  <si>
    <t>1.3.3.</t>
  </si>
  <si>
    <t>Пенсии,  пособия,  выплачиваемые  организациями   сектора  государственного управления</t>
  </si>
  <si>
    <t>26300</t>
  </si>
  <si>
    <t>Пособия и компенсации персоналу в денежной форме</t>
  </si>
  <si>
    <t>1.4.</t>
  </si>
  <si>
    <t xml:space="preserve"> Прочие расходы, в том числе:</t>
  </si>
  <si>
    <t>1.4.1.</t>
  </si>
  <si>
    <t>уплата налогов (включаемых в состав расходов), государственных пошлин и сборов, разного рода платежей в бюджеты всех уровней, штрафов и пеней</t>
  </si>
  <si>
    <t>290.01</t>
  </si>
  <si>
    <t>1.4.2.</t>
  </si>
  <si>
    <t>выплата стипендий</t>
  </si>
  <si>
    <t>290.02</t>
  </si>
  <si>
    <t>1.4.3.</t>
  </si>
  <si>
    <t>представительские расходы, прием и обслуживание делегаций, приобретение  (изготовление) подарочной и сувенирной продукции, не предназначенной для дальнейшей перепродажи</t>
  </si>
  <si>
    <t>290.03</t>
  </si>
  <si>
    <t>1.4.4.</t>
  </si>
  <si>
    <t>иные расходы</t>
  </si>
  <si>
    <t>290.99</t>
  </si>
  <si>
    <t xml:space="preserve"> Поступление нефинансовых активов </t>
  </si>
  <si>
    <t>2.1.</t>
  </si>
  <si>
    <t xml:space="preserve"> Увеличение стоимости основных средств, в том числе: </t>
  </si>
  <si>
    <t>2.1.1.</t>
  </si>
  <si>
    <t>автотранспорт, реконструкция, дооборудование, модернизация</t>
  </si>
  <si>
    <t>310.01</t>
  </si>
  <si>
    <t>2.1.2.</t>
  </si>
  <si>
    <t>охранно-пожарная сигнализация</t>
  </si>
  <si>
    <t>310.02</t>
  </si>
  <si>
    <t>2.1.3.</t>
  </si>
  <si>
    <t>комплектация книжных фондов библиотек</t>
  </si>
  <si>
    <t>310.03</t>
  </si>
  <si>
    <t>2.1.4.</t>
  </si>
  <si>
    <t>компьютерная техника, оргтехника</t>
  </si>
  <si>
    <t>310.04</t>
  </si>
  <si>
    <t>2.1.5.</t>
  </si>
  <si>
    <t>бытовая техника, мебель</t>
  </si>
  <si>
    <t>310.05</t>
  </si>
  <si>
    <t>2.1.6.</t>
  </si>
  <si>
    <t xml:space="preserve"> другие расходы на увеличение стоимости основных средств                    </t>
  </si>
  <si>
    <t>310.99</t>
  </si>
  <si>
    <t>2.2.</t>
  </si>
  <si>
    <t>Увеличение стоимости нематериальных активов</t>
  </si>
  <si>
    <t>32000</t>
  </si>
  <si>
    <t>2.3.</t>
  </si>
  <si>
    <t xml:space="preserve"> Увеличение стоимости материальных запасов, в том числе:</t>
  </si>
  <si>
    <t>2.3.1.</t>
  </si>
  <si>
    <t>медикаменты и перевязочные средства</t>
  </si>
  <si>
    <t>340.01</t>
  </si>
  <si>
    <t>2.3.2.</t>
  </si>
  <si>
    <t>продукты питания</t>
  </si>
  <si>
    <t>340.02</t>
  </si>
  <si>
    <t>2.3.3.</t>
  </si>
  <si>
    <t>горюче-смазочные материалы</t>
  </si>
  <si>
    <t>340.03</t>
  </si>
  <si>
    <t>2.3.4.</t>
  </si>
  <si>
    <t>мягкий инвентарь</t>
  </si>
  <si>
    <t>340.04</t>
  </si>
  <si>
    <t>2.3.5.</t>
  </si>
  <si>
    <t>другие расходы на увеличение стоимости материальных запасов</t>
  </si>
  <si>
    <t>340.99</t>
  </si>
  <si>
    <t xml:space="preserve">ИТОГО РАСХОДЫ ПО ГОКУ </t>
  </si>
  <si>
    <t>Информация о предписаниях  надзорных органов и проведенных  мероприятиях по их устранению в 2013 году</t>
  </si>
  <si>
    <t>Наименование надзорного органа</t>
  </si>
  <si>
    <t>Реквизиты предписания (дата, № и т.д)</t>
  </si>
  <si>
    <t>Перечень мероприятий</t>
  </si>
  <si>
    <t>Установленные сроки устранения предписаний</t>
  </si>
  <si>
    <t>Стоимость работ (тыс. руб.)</t>
  </si>
  <si>
    <t>Отметка об исполнении мероприятия</t>
  </si>
  <si>
    <t>Всего</t>
  </si>
  <si>
    <t>ЦС</t>
  </si>
  <si>
    <t>ВР</t>
  </si>
  <si>
    <t>КОСГУ</t>
  </si>
  <si>
    <t>Код цели</t>
  </si>
  <si>
    <t>ФГКУ "Специальное управление ФПС №48 МЧС России"</t>
  </si>
  <si>
    <t>05.12.2012г. №322/1/21</t>
  </si>
  <si>
    <t>Отсутствует противопожарная преграда, отделяющая помещения Центра от жилой части здания</t>
  </si>
  <si>
    <t>до 01.07.2013</t>
  </si>
  <si>
    <t>224</t>
  </si>
  <si>
    <t>225</t>
  </si>
  <si>
    <t>Исполнено в полном объеме</t>
  </si>
  <si>
    <t>В помещениях Центра не установленна система автоматического обнаружения пожара</t>
  </si>
  <si>
    <t>6222800</t>
  </si>
  <si>
    <t>244</t>
  </si>
  <si>
    <t>226</t>
  </si>
  <si>
    <t>Информация о предписаниях  надзорных органов и проведенных  мероприятиях по их устранению в 2014,2015,2016,2017 году</t>
  </si>
  <si>
    <t>данные на 01.01.2021</t>
  </si>
  <si>
    <t>Касса 01.01.2021, тыс.руб.</t>
  </si>
  <si>
    <t>% исполнения БР 01.01.2021</t>
  </si>
  <si>
    <t>2020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</si>
</sst>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0000"/>
    <numFmt numFmtId="174" formatCode="#,##0.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12"/>
      <name val="Times New Roman"/>
      <family val="1"/>
    </font>
    <font>
      <u val="single"/>
      <sz val="10"/>
      <color indexed="12"/>
      <name val="Arial Cyr"/>
      <family val="2"/>
    </font>
    <font>
      <sz val="14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  <font>
      <b/>
      <sz val="11"/>
      <name val="Times New Roman"/>
      <family val="1"/>
    </font>
    <font>
      <b/>
      <sz val="7.5"/>
      <name val="Times New Roman"/>
      <family val="1"/>
    </font>
    <font>
      <sz val="8"/>
      <color indexed="8"/>
      <name val="Tahoma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1"/>
      <color indexed="20"/>
      <name val="Times New Roman"/>
      <family val="1"/>
    </font>
    <font>
      <b/>
      <sz val="10"/>
      <color indexed="20"/>
      <name val="Arial Cyr"/>
      <family val="2"/>
    </font>
    <font>
      <sz val="6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31" borderId="8" applyNumberFormat="0" applyFont="0" applyAlignment="0" applyProtection="0"/>
    <xf numFmtId="9" fontId="0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0" fontId="66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16" fontId="11" fillId="34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vertical="top" wrapText="1"/>
    </xf>
    <xf numFmtId="0" fontId="11" fillId="0" borderId="10" xfId="0" applyFont="1" applyFill="1" applyBorder="1" applyAlignment="1" applyProtection="1">
      <alignment wrapText="1"/>
      <protection locked="0"/>
    </xf>
    <xf numFmtId="0" fontId="11" fillId="0" borderId="10" xfId="0" applyFont="1" applyBorder="1" applyAlignment="1">
      <alignment/>
    </xf>
    <xf numFmtId="0" fontId="9" fillId="0" borderId="10" xfId="42" applyNumberFormat="1" applyFont="1" applyFill="1" applyBorder="1" applyAlignment="1" applyProtection="1">
      <alignment horizontal="center" vertical="top" wrapText="1"/>
      <protection/>
    </xf>
    <xf numFmtId="0" fontId="13" fillId="0" borderId="10" xfId="42" applyNumberFormat="1" applyFont="1" applyFill="1" applyBorder="1" applyAlignment="1" applyProtection="1">
      <alignment horizontal="center" vertical="top" wrapText="1"/>
      <protection/>
    </xf>
    <xf numFmtId="1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16" fontId="6" fillId="34" borderId="1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173" fontId="11" fillId="0" borderId="10" xfId="0" applyNumberFormat="1" applyFont="1" applyFill="1" applyBorder="1" applyAlignment="1" applyProtection="1">
      <alignment horizontal="left"/>
      <protection locked="0"/>
    </xf>
    <xf numFmtId="1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/>
      <protection locked="0"/>
    </xf>
    <xf numFmtId="14" fontId="6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wrapText="1"/>
      <protection locked="0"/>
    </xf>
    <xf numFmtId="16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 wrapText="1"/>
    </xf>
    <xf numFmtId="14" fontId="6" fillId="34" borderId="10" xfId="0" applyNumberFormat="1" applyFont="1" applyFill="1" applyBorder="1" applyAlignment="1">
      <alignment horizontal="center"/>
    </xf>
    <xf numFmtId="14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 applyProtection="1">
      <alignment horizontal="center"/>
      <protection locked="0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/>
      <protection locked="0"/>
    </xf>
    <xf numFmtId="14" fontId="6" fillId="34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172" fontId="11" fillId="0" borderId="10" xfId="64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horizontal="right"/>
      <protection locked="0"/>
    </xf>
    <xf numFmtId="0" fontId="11" fillId="0" borderId="10" xfId="0" applyFont="1" applyFill="1" applyBorder="1" applyAlignment="1" applyProtection="1">
      <alignment horizontal="right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35" borderId="10" xfId="0" applyFont="1" applyFill="1" applyBorder="1" applyAlignment="1" applyProtection="1">
      <alignment horizontal="center" vertical="center" wrapText="1"/>
      <protection locked="0"/>
    </xf>
    <xf numFmtId="4" fontId="12" fillId="35" borderId="10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35" borderId="11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4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top"/>
    </xf>
    <xf numFmtId="0" fontId="17" fillId="0" borderId="1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/>
    </xf>
    <xf numFmtId="0" fontId="18" fillId="35" borderId="14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/>
    </xf>
    <xf numFmtId="0" fontId="12" fillId="0" borderId="10" xfId="0" applyFont="1" applyFill="1" applyBorder="1" applyAlignment="1">
      <alignment vertical="center" wrapText="1"/>
    </xf>
    <xf numFmtId="0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35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4" fontId="12" fillId="35" borderId="12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35" borderId="15" xfId="0" applyFont="1" applyFill="1" applyBorder="1" applyAlignment="1" applyProtection="1">
      <alignment horizontal="center" vertical="center" wrapText="1"/>
      <protection locked="0"/>
    </xf>
    <xf numFmtId="4" fontId="12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7" xfId="0" applyFont="1" applyFill="1" applyBorder="1" applyAlignment="1" applyProtection="1">
      <alignment horizontal="center" vertical="center" wrapText="1"/>
      <protection locked="0"/>
    </xf>
    <xf numFmtId="4" fontId="12" fillId="35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10" xfId="0" applyFont="1" applyFill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12" fillId="35" borderId="15" xfId="0" applyNumberFormat="1" applyFont="1" applyFill="1" applyBorder="1" applyAlignment="1">
      <alignment horizontal="center" vertical="center" wrapText="1"/>
    </xf>
    <xf numFmtId="0" fontId="19" fillId="35" borderId="17" xfId="0" applyFont="1" applyFill="1" applyBorder="1" applyAlignment="1">
      <alignment horizontal="center" vertical="center" wrapText="1"/>
    </xf>
    <xf numFmtId="4" fontId="19" fillId="35" borderId="10" xfId="0" applyNumberFormat="1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vertical="center" wrapText="1"/>
    </xf>
    <xf numFmtId="0" fontId="11" fillId="35" borderId="0" xfId="0" applyFont="1" applyFill="1" applyAlignment="1">
      <alignment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left" vertical="center" wrapText="1"/>
    </xf>
    <xf numFmtId="3" fontId="12" fillId="35" borderId="10" xfId="0" applyNumberFormat="1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vertical="center" wrapText="1"/>
    </xf>
    <xf numFmtId="3" fontId="19" fillId="35" borderId="10" xfId="0" applyNumberFormat="1" applyFont="1" applyFill="1" applyBorder="1" applyAlignment="1">
      <alignment horizontal="center" vertical="center"/>
    </xf>
    <xf numFmtId="4" fontId="19" fillId="35" borderId="10" xfId="0" applyNumberFormat="1" applyFont="1" applyFill="1" applyBorder="1" applyAlignment="1">
      <alignment horizontal="center" vertical="center"/>
    </xf>
    <xf numFmtId="0" fontId="20" fillId="35" borderId="0" xfId="0" applyFont="1" applyFill="1" applyAlignment="1">
      <alignment/>
    </xf>
    <xf numFmtId="0" fontId="20" fillId="35" borderId="0" xfId="0" applyFont="1" applyFill="1" applyAlignment="1">
      <alignment/>
    </xf>
    <xf numFmtId="0" fontId="12" fillId="35" borderId="15" xfId="0" applyFont="1" applyFill="1" applyBorder="1" applyAlignment="1">
      <alignment vertical="top" wrapText="1"/>
    </xf>
    <xf numFmtId="0" fontId="12" fillId="35" borderId="13" xfId="0" applyFont="1" applyFill="1" applyBorder="1" applyAlignment="1">
      <alignment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justify" wrapText="1"/>
    </xf>
    <xf numFmtId="0" fontId="12" fillId="0" borderId="18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vertical="center" wrapText="1"/>
    </xf>
    <xf numFmtId="0" fontId="12" fillId="36" borderId="10" xfId="0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center"/>
    </xf>
    <xf numFmtId="0" fontId="12" fillId="36" borderId="15" xfId="0" applyFont="1" applyFill="1" applyBorder="1" applyAlignment="1">
      <alignment vertical="center" wrapText="1"/>
    </xf>
    <xf numFmtId="0" fontId="12" fillId="36" borderId="17" xfId="0" applyFont="1" applyFill="1" applyBorder="1" applyAlignment="1">
      <alignment horizontal="left" vertical="center" wrapText="1"/>
    </xf>
    <xf numFmtId="0" fontId="11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12" fillId="36" borderId="17" xfId="0" applyFont="1" applyFill="1" applyBorder="1" applyAlignment="1">
      <alignment vertical="center" wrapText="1"/>
    </xf>
    <xf numFmtId="0" fontId="12" fillId="36" borderId="18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4" fontId="17" fillId="0" borderId="10" xfId="0" applyNumberFormat="1" applyFont="1" applyFill="1" applyBorder="1" applyAlignment="1">
      <alignment horizontal="left" vertical="center" wrapText="1"/>
    </xf>
    <xf numFmtId="14" fontId="17" fillId="0" borderId="11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11" fillId="0" borderId="0" xfId="0" applyFont="1" applyBorder="1" applyAlignment="1">
      <alignment horizontal="left" indent="1"/>
    </xf>
    <xf numFmtId="0" fontId="22" fillId="0" borderId="0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22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vertical="top" wrapText="1"/>
    </xf>
    <xf numFmtId="0" fontId="23" fillId="0" borderId="0" xfId="0" applyFont="1" applyFill="1" applyAlignment="1">
      <alignment wrapText="1"/>
    </xf>
    <xf numFmtId="0" fontId="11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horizontal="center"/>
      <protection locked="0"/>
    </xf>
    <xf numFmtId="4" fontId="11" fillId="0" borderId="10" xfId="0" applyNumberFormat="1" applyFont="1" applyFill="1" applyBorder="1" applyAlignment="1" applyProtection="1">
      <alignment horizontal="center"/>
      <protection locked="0"/>
    </xf>
    <xf numFmtId="16" fontId="11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16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indent="1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11" fillId="33" borderId="11" xfId="0" applyNumberFormat="1" applyFont="1" applyFill="1" applyBorder="1" applyAlignment="1">
      <alignment/>
    </xf>
    <xf numFmtId="0" fontId="11" fillId="0" borderId="10" xfId="0" applyFont="1" applyBorder="1" applyAlignment="1">
      <alignment horizontal="left"/>
    </xf>
    <xf numFmtId="4" fontId="11" fillId="0" borderId="10" xfId="0" applyNumberFormat="1" applyFont="1" applyFill="1" applyBorder="1" applyAlignment="1" applyProtection="1">
      <alignment/>
      <protection locked="0"/>
    </xf>
    <xf numFmtId="4" fontId="11" fillId="0" borderId="10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4" fontId="11" fillId="0" borderId="11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 horizontal="center"/>
    </xf>
    <xf numFmtId="4" fontId="12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4" fontId="11" fillId="0" borderId="10" xfId="0" applyNumberFormat="1" applyFont="1" applyFill="1" applyBorder="1" applyAlignment="1" applyProtection="1">
      <alignment horizontal="right"/>
      <protection locked="0"/>
    </xf>
    <xf numFmtId="4" fontId="11" fillId="0" borderId="11" xfId="0" applyNumberFormat="1" applyFont="1" applyFill="1" applyBorder="1" applyAlignment="1" applyProtection="1">
      <alignment horizontal="right"/>
      <protection locked="0"/>
    </xf>
    <xf numFmtId="4" fontId="11" fillId="0" borderId="10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 applyProtection="1">
      <alignment horizontal="right"/>
      <protection locked="0"/>
    </xf>
    <xf numFmtId="174" fontId="11" fillId="0" borderId="10" xfId="0" applyNumberFormat="1" applyFont="1" applyFill="1" applyBorder="1" applyAlignment="1" applyProtection="1">
      <alignment horizontal="right"/>
      <protection locked="0"/>
    </xf>
    <xf numFmtId="174" fontId="11" fillId="0" borderId="11" xfId="0" applyNumberFormat="1" applyFont="1" applyFill="1" applyBorder="1" applyAlignment="1" applyProtection="1">
      <alignment horizontal="right"/>
      <protection locked="0"/>
    </xf>
    <xf numFmtId="174" fontId="11" fillId="0" borderId="10" xfId="0" applyNumberFormat="1" applyFont="1" applyFill="1" applyBorder="1" applyAlignment="1">
      <alignment horizontal="right"/>
    </xf>
    <xf numFmtId="174" fontId="11" fillId="0" borderId="11" xfId="0" applyNumberFormat="1" applyFont="1" applyFill="1" applyBorder="1" applyAlignment="1">
      <alignment horizontal="right"/>
    </xf>
    <xf numFmtId="175" fontId="11" fillId="0" borderId="10" xfId="66" applyNumberFormat="1" applyFont="1" applyFill="1" applyBorder="1" applyAlignment="1" applyProtection="1">
      <alignment horizontal="right"/>
      <protection locked="0"/>
    </xf>
    <xf numFmtId="175" fontId="11" fillId="0" borderId="11" xfId="66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" fontId="2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0" fontId="28" fillId="0" borderId="1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6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wrapText="1"/>
    </xf>
    <xf numFmtId="4" fontId="6" fillId="37" borderId="10" xfId="0" applyNumberFormat="1" applyFont="1" applyFill="1" applyBorder="1" applyAlignment="1">
      <alignment/>
    </xf>
    <xf numFmtId="10" fontId="6" fillId="37" borderId="10" xfId="0" applyNumberFormat="1" applyFont="1" applyFill="1" applyBorder="1" applyAlignment="1">
      <alignment/>
    </xf>
    <xf numFmtId="10" fontId="6" fillId="37" borderId="11" xfId="0" applyNumberFormat="1" applyFont="1" applyFill="1" applyBorder="1" applyAlignment="1">
      <alignment/>
    </xf>
    <xf numFmtId="10" fontId="11" fillId="37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" fontId="6" fillId="33" borderId="10" xfId="0" applyNumberFormat="1" applyFont="1" applyFill="1" applyBorder="1" applyAlignment="1">
      <alignment/>
    </xf>
    <xf numFmtId="10" fontId="6" fillId="33" borderId="10" xfId="0" applyNumberFormat="1" applyFont="1" applyFill="1" applyBorder="1" applyAlignment="1">
      <alignment/>
    </xf>
    <xf numFmtId="10" fontId="6" fillId="33" borderId="11" xfId="0" applyNumberFormat="1" applyFont="1" applyFill="1" applyBorder="1" applyAlignment="1">
      <alignment/>
    </xf>
    <xf numFmtId="10" fontId="11" fillId="33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/>
      <protection locked="0"/>
    </xf>
    <xf numFmtId="10" fontId="6" fillId="0" borderId="10" xfId="0" applyNumberFormat="1" applyFont="1" applyFill="1" applyBorder="1" applyAlignment="1">
      <alignment/>
    </xf>
    <xf numFmtId="10" fontId="6" fillId="0" borderId="11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0" fontId="11" fillId="0" borderId="10" xfId="0" applyNumberFormat="1" applyFont="1" applyFill="1" applyBorder="1" applyAlignment="1">
      <alignment/>
    </xf>
    <xf numFmtId="4" fontId="11" fillId="0" borderId="10" xfId="61" applyNumberFormat="1" applyFont="1" applyFill="1" applyBorder="1" applyAlignment="1" applyProtection="1">
      <alignment/>
      <protection/>
    </xf>
    <xf numFmtId="10" fontId="11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4" fontId="31" fillId="0" borderId="10" xfId="0" applyNumberFormat="1" applyFont="1" applyFill="1" applyBorder="1" applyAlignment="1">
      <alignment/>
    </xf>
    <xf numFmtId="4" fontId="11" fillId="38" borderId="10" xfId="0" applyNumberFormat="1" applyFont="1" applyFill="1" applyBorder="1" applyAlignment="1" applyProtection="1">
      <alignment/>
      <protection locked="0"/>
    </xf>
    <xf numFmtId="10" fontId="11" fillId="38" borderId="10" xfId="0" applyNumberFormat="1" applyFont="1" applyFill="1" applyBorder="1" applyAlignment="1">
      <alignment/>
    </xf>
    <xf numFmtId="4" fontId="11" fillId="38" borderId="10" xfId="0" applyNumberFormat="1" applyFont="1" applyFill="1" applyBorder="1" applyAlignment="1">
      <alignment/>
    </xf>
    <xf numFmtId="4" fontId="11" fillId="38" borderId="10" xfId="61" applyNumberFormat="1" applyFont="1" applyFill="1" applyBorder="1" applyAlignment="1" applyProtection="1">
      <alignment/>
      <protection/>
    </xf>
    <xf numFmtId="10" fontId="11" fillId="38" borderId="11" xfId="0" applyNumberFormat="1" applyFont="1" applyFill="1" applyBorder="1" applyAlignment="1">
      <alignment/>
    </xf>
    <xf numFmtId="4" fontId="11" fillId="39" borderId="10" xfId="0" applyNumberFormat="1" applyFont="1" applyFill="1" applyBorder="1" applyAlignment="1">
      <alignment/>
    </xf>
    <xf numFmtId="10" fontId="11" fillId="39" borderId="11" xfId="0" applyNumberFormat="1" applyFont="1" applyFill="1" applyBorder="1" applyAlignment="1">
      <alignment/>
    </xf>
    <xf numFmtId="4" fontId="6" fillId="33" borderId="10" xfId="0" applyNumberFormat="1" applyFont="1" applyFill="1" applyBorder="1" applyAlignment="1" applyProtection="1">
      <alignment/>
      <protection locked="0"/>
    </xf>
    <xf numFmtId="0" fontId="11" fillId="39" borderId="11" xfId="0" applyFont="1" applyFill="1" applyBorder="1" applyAlignment="1">
      <alignment/>
    </xf>
    <xf numFmtId="4" fontId="11" fillId="35" borderId="10" xfId="0" applyNumberFormat="1" applyFont="1" applyFill="1" applyBorder="1" applyAlignment="1">
      <alignment/>
    </xf>
    <xf numFmtId="4" fontId="11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/>
    </xf>
    <xf numFmtId="0" fontId="33" fillId="0" borderId="0" xfId="0" applyFont="1" applyAlignment="1">
      <alignment wrapText="1"/>
    </xf>
    <xf numFmtId="0" fontId="14" fillId="0" borderId="2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14" fontId="12" fillId="0" borderId="10" xfId="0" applyNumberFormat="1" applyFont="1" applyBorder="1" applyAlignment="1">
      <alignment horizontal="center" wrapText="1"/>
    </xf>
    <xf numFmtId="4" fontId="12" fillId="0" borderId="10" xfId="0" applyNumberFormat="1" applyFont="1" applyFill="1" applyBorder="1" applyAlignment="1" applyProtection="1">
      <alignment horizontal="right" wrapText="1"/>
      <protection locked="0"/>
    </xf>
    <xf numFmtId="49" fontId="12" fillId="0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12" fillId="0" borderId="10" xfId="0" applyNumberFormat="1" applyFont="1" applyFill="1" applyBorder="1" applyAlignment="1" applyProtection="1">
      <alignment horizontal="right"/>
      <protection locked="0"/>
    </xf>
    <xf numFmtId="49" fontId="12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0" fontId="11" fillId="0" borderId="0" xfId="0" applyFont="1" applyFill="1" applyBorder="1" applyAlignment="1" applyProtection="1">
      <alignment/>
      <protection locked="0"/>
    </xf>
    <xf numFmtId="2" fontId="11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 applyProtection="1">
      <alignment/>
      <protection locked="0"/>
    </xf>
    <xf numFmtId="1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4" fontId="14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8" fillId="0" borderId="0" xfId="42" applyNumberFormat="1" applyFont="1" applyFill="1" applyBorder="1" applyAlignment="1" applyProtection="1">
      <alignment horizontal="left"/>
      <protection/>
    </xf>
    <xf numFmtId="16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36" borderId="17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 applyProtection="1">
      <alignment horizontal="center" wrapText="1"/>
      <protection locked="0"/>
    </xf>
    <xf numFmtId="0" fontId="11" fillId="0" borderId="10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0" fontId="11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4" fontId="11" fillId="40" borderId="17" xfId="0" applyNumberFormat="1" applyFont="1" applyFill="1" applyBorder="1" applyAlignment="1">
      <alignment horizontal="right"/>
    </xf>
    <xf numFmtId="4" fontId="11" fillId="40" borderId="10" xfId="0" applyNumberFormat="1" applyFont="1" applyFill="1" applyBorder="1" applyAlignment="1">
      <alignment horizontal="right"/>
    </xf>
    <xf numFmtId="4" fontId="11" fillId="41" borderId="10" xfId="0" applyNumberFormat="1" applyFont="1" applyFill="1" applyBorder="1" applyAlignment="1">
      <alignment horizontal="right"/>
    </xf>
    <xf numFmtId="4" fontId="11" fillId="40" borderId="10" xfId="0" applyNumberFormat="1" applyFont="1" applyFill="1" applyBorder="1" applyAlignment="1" applyProtection="1">
      <alignment horizontal="right"/>
      <protection locked="0"/>
    </xf>
    <xf numFmtId="174" fontId="11" fillId="40" borderId="10" xfId="0" applyNumberFormat="1" applyFont="1" applyFill="1" applyBorder="1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negnogorsk@socmurman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B6:O25"/>
  <sheetViews>
    <sheetView zoomScaleSheetLayoutView="190" zoomScalePageLayoutView="0" workbookViewId="0" topLeftCell="B1">
      <selection activeCell="L19" sqref="L19"/>
    </sheetView>
  </sheetViews>
  <sheetFormatPr defaultColWidth="9.50390625" defaultRowHeight="12.75"/>
  <cols>
    <col min="1" max="8" width="9.50390625" style="1" customWidth="1"/>
    <col min="9" max="9" width="15.50390625" style="1" customWidth="1"/>
    <col min="10" max="15" width="9.50390625" style="2" customWidth="1"/>
    <col min="16" max="16384" width="9.50390625" style="1" customWidth="1"/>
  </cols>
  <sheetData>
    <row r="6" spans="2:11" ht="44.25" customHeight="1">
      <c r="B6" s="349" t="s">
        <v>0</v>
      </c>
      <c r="C6" s="349"/>
      <c r="D6" s="349"/>
      <c r="E6" s="349"/>
      <c r="F6" s="349"/>
      <c r="G6" s="349"/>
      <c r="H6" s="349"/>
      <c r="I6" s="349"/>
      <c r="J6" s="3"/>
      <c r="K6" s="3"/>
    </row>
    <row r="8" spans="2:11" ht="33.75" customHeight="1">
      <c r="B8" s="350" t="s">
        <v>1</v>
      </c>
      <c r="C8" s="350"/>
      <c r="D8" s="350"/>
      <c r="E8" s="350"/>
      <c r="F8" s="350"/>
      <c r="G8" s="350"/>
      <c r="H8" s="350"/>
      <c r="I8" s="350"/>
      <c r="J8" s="4"/>
      <c r="K8" s="4"/>
    </row>
    <row r="9" spans="2:15" s="5" customFormat="1" ht="12.75">
      <c r="B9" s="6"/>
      <c r="C9" s="7"/>
      <c r="D9" s="7"/>
      <c r="E9" s="7"/>
      <c r="F9" s="7"/>
      <c r="G9" s="7"/>
      <c r="H9" s="7"/>
      <c r="I9" s="7"/>
      <c r="J9" s="7"/>
      <c r="K9" s="7"/>
      <c r="L9" s="8"/>
      <c r="M9" s="8"/>
      <c r="N9" s="8"/>
      <c r="O9" s="8"/>
    </row>
    <row r="10" spans="2:9" ht="18">
      <c r="B10" s="351" t="s">
        <v>2</v>
      </c>
      <c r="C10" s="351"/>
      <c r="D10" s="351"/>
      <c r="E10" s="351"/>
      <c r="F10" s="351"/>
      <c r="G10" s="351"/>
      <c r="H10" s="351"/>
      <c r="I10" s="351"/>
    </row>
    <row r="13" ht="18">
      <c r="B13" s="1" t="s">
        <v>3</v>
      </c>
    </row>
    <row r="14" spans="2:11" ht="18">
      <c r="B14" s="9" t="s">
        <v>4</v>
      </c>
      <c r="C14" s="352" t="s">
        <v>5</v>
      </c>
      <c r="D14" s="352"/>
      <c r="E14" s="352"/>
      <c r="F14" s="352"/>
      <c r="G14" s="352"/>
      <c r="H14" s="352"/>
      <c r="I14" s="352"/>
      <c r="J14" s="10"/>
      <c r="K14" s="10"/>
    </row>
    <row r="15" spans="2:11" ht="18">
      <c r="B15" s="9" t="s">
        <v>6</v>
      </c>
      <c r="C15" s="352" t="s">
        <v>7</v>
      </c>
      <c r="D15" s="352"/>
      <c r="E15" s="352"/>
      <c r="F15" s="352"/>
      <c r="G15" s="352"/>
      <c r="H15" s="352"/>
      <c r="I15" s="352"/>
      <c r="J15" s="10"/>
      <c r="K15" s="10"/>
    </row>
    <row r="16" spans="2:11" ht="18">
      <c r="B16" s="9" t="s">
        <v>8</v>
      </c>
      <c r="C16" s="352" t="s">
        <v>9</v>
      </c>
      <c r="D16" s="352"/>
      <c r="E16" s="352"/>
      <c r="F16" s="352"/>
      <c r="G16" s="352"/>
      <c r="H16" s="352"/>
      <c r="I16" s="352"/>
      <c r="J16" s="10"/>
      <c r="K16" s="10"/>
    </row>
    <row r="17" spans="2:11" ht="18">
      <c r="B17" s="9" t="s">
        <v>10</v>
      </c>
      <c r="C17" s="352" t="s">
        <v>11</v>
      </c>
      <c r="D17" s="352"/>
      <c r="E17" s="352"/>
      <c r="F17" s="352"/>
      <c r="G17" s="352"/>
      <c r="H17" s="352"/>
      <c r="I17" s="352"/>
      <c r="J17" s="10"/>
      <c r="K17" s="10"/>
    </row>
    <row r="18" spans="2:11" ht="18">
      <c r="B18" s="9" t="s">
        <v>12</v>
      </c>
      <c r="C18" s="352" t="s">
        <v>13</v>
      </c>
      <c r="D18" s="352"/>
      <c r="E18" s="352"/>
      <c r="F18" s="352"/>
      <c r="G18" s="352"/>
      <c r="H18" s="352"/>
      <c r="I18" s="352"/>
      <c r="J18" s="10"/>
      <c r="K18" s="10"/>
    </row>
    <row r="19" spans="2:12" ht="18">
      <c r="B19" s="9" t="s">
        <v>14</v>
      </c>
      <c r="C19" s="352" t="s">
        <v>15</v>
      </c>
      <c r="D19" s="352"/>
      <c r="E19" s="352"/>
      <c r="F19" s="352"/>
      <c r="G19" s="352"/>
      <c r="H19" s="352"/>
      <c r="I19" s="352"/>
      <c r="J19" s="7"/>
      <c r="K19" s="7"/>
      <c r="L19" s="7"/>
    </row>
    <row r="20" spans="2:11" ht="18">
      <c r="B20" s="9" t="s">
        <v>16</v>
      </c>
      <c r="C20" s="352" t="s">
        <v>17</v>
      </c>
      <c r="D20" s="352"/>
      <c r="E20" s="352"/>
      <c r="F20" s="352"/>
      <c r="G20" s="352"/>
      <c r="H20" s="352"/>
      <c r="I20" s="352"/>
      <c r="J20" s="10"/>
      <c r="K20" s="10"/>
    </row>
    <row r="21" spans="2:11" ht="18">
      <c r="B21" s="9" t="s">
        <v>18</v>
      </c>
      <c r="C21" s="352" t="s">
        <v>19</v>
      </c>
      <c r="D21" s="352"/>
      <c r="E21" s="352"/>
      <c r="F21" s="352"/>
      <c r="G21" s="352"/>
      <c r="H21" s="352"/>
      <c r="I21" s="352"/>
      <c r="J21" s="10"/>
      <c r="K21" s="10"/>
    </row>
    <row r="22" spans="2:11" ht="18">
      <c r="B22" s="9" t="s">
        <v>20</v>
      </c>
      <c r="C22" s="352" t="s">
        <v>21</v>
      </c>
      <c r="D22" s="352"/>
      <c r="E22" s="352"/>
      <c r="F22" s="352"/>
      <c r="G22" s="352"/>
      <c r="H22" s="352"/>
      <c r="I22" s="352"/>
      <c r="J22" s="11"/>
      <c r="K22" s="11"/>
    </row>
    <row r="23" spans="2:11" ht="18">
      <c r="B23" s="9" t="s">
        <v>22</v>
      </c>
      <c r="C23" s="352" t="s">
        <v>23</v>
      </c>
      <c r="D23" s="352"/>
      <c r="E23" s="352"/>
      <c r="F23" s="352"/>
      <c r="G23" s="352"/>
      <c r="H23" s="352"/>
      <c r="I23" s="352"/>
      <c r="J23" s="12"/>
      <c r="K23" s="12"/>
    </row>
    <row r="24" ht="18">
      <c r="B24" s="9"/>
    </row>
    <row r="25" ht="18">
      <c r="B25" s="9"/>
    </row>
  </sheetData>
  <sheetProtection selectLockedCells="1" selectUnlockedCells="1"/>
  <mergeCells count="13">
    <mergeCell ref="C23:I23"/>
    <mergeCell ref="C17:I17"/>
    <mergeCell ref="C18:I18"/>
    <mergeCell ref="C19:I19"/>
    <mergeCell ref="C20:I20"/>
    <mergeCell ref="C21:I21"/>
    <mergeCell ref="C22:I22"/>
    <mergeCell ref="B6:I6"/>
    <mergeCell ref="B8:I8"/>
    <mergeCell ref="B10:I10"/>
    <mergeCell ref="C14:I14"/>
    <mergeCell ref="C15:I15"/>
    <mergeCell ref="C16:I16"/>
  </mergeCells>
  <hyperlinks>
    <hyperlink ref="C14" location="Общие сведения!C6" display="Общие сведения"/>
    <hyperlink ref="C15" location="Общие сведения!C6" display="Сведения об оказании государственных услуг "/>
    <hyperlink ref="C16" location="Контингент!D30" display="Сведения о  персонале "/>
    <hyperlink ref="C17" location="Руководители!D7" display="Сведения о руководящих работниках "/>
    <hyperlink ref="C18" location="Инфраструктура!D7" display="Сведения об инфраструктуре  "/>
    <hyperlink ref="C19" location="Оборудование!D7" display="Сведения об оборудовании "/>
    <hyperlink ref="C20" location="Коммунальные услуги!D7" display="Сведения о потреблении коммунальных услуг"/>
    <hyperlink ref="C21" location="Износ!D6" display="Сведения о стоимости и износе материальных средств "/>
    <hyperlink ref="C22" location="Расходы!E10" display="Сведения о расходах "/>
    <hyperlink ref="C23" location="Предписания!D7" display="Предписания надзорных органов"/>
  </hyperlinks>
  <printOptions/>
  <pageMargins left="0.7875" right="0.5902777777777778" top="0.5902777777777778" bottom="0.5902777777777777" header="0.5118055555555555" footer="0.5118055555555555"/>
  <pageSetup horizontalDpi="300" verticalDpi="300" orientation="portrait" paperSize="9"/>
  <headerFooter alignWithMargins="0"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O72"/>
  <sheetViews>
    <sheetView zoomScale="88" zoomScaleNormal="88" zoomScalePageLayoutView="0" workbookViewId="0" topLeftCell="B58">
      <selection activeCell="AQ73" sqref="AQ73"/>
    </sheetView>
  </sheetViews>
  <sheetFormatPr defaultColWidth="9.50390625" defaultRowHeight="12.75"/>
  <cols>
    <col min="1" max="1" width="7.50390625" style="72" customWidth="1"/>
    <col min="2" max="2" width="43.50390625" style="72" customWidth="1"/>
    <col min="3" max="3" width="6.875" style="72" customWidth="1"/>
    <col min="4" max="31" width="0" style="72" hidden="1" customWidth="1"/>
    <col min="32" max="32" width="19.125" style="72" customWidth="1"/>
    <col min="33" max="34" width="0" style="72" hidden="1" customWidth="1"/>
    <col min="35" max="35" width="18.50390625" style="72" customWidth="1"/>
    <col min="36" max="36" width="16.375" style="72" customWidth="1"/>
    <col min="37" max="37" width="19.125" style="72" customWidth="1"/>
    <col min="38" max="39" width="0" style="72" hidden="1" customWidth="1"/>
    <col min="40" max="40" width="18.50390625" style="72" customWidth="1"/>
    <col min="41" max="41" width="16.375" style="72" customWidth="1"/>
    <col min="42" max="16384" width="9.50390625" style="72" customWidth="1"/>
  </cols>
  <sheetData>
    <row r="1" spans="1:4" ht="15">
      <c r="A1" s="356"/>
      <c r="B1" s="356"/>
      <c r="C1" s="356"/>
      <c r="D1" s="356"/>
    </row>
    <row r="2" spans="1:4" ht="15">
      <c r="A2" s="356" t="s">
        <v>21</v>
      </c>
      <c r="B2" s="356"/>
      <c r="C2" s="356"/>
      <c r="D2" s="356"/>
    </row>
    <row r="3" spans="1:34" ht="15" customHeight="1">
      <c r="A3" s="383" t="s">
        <v>24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</row>
    <row r="4" spans="1:4" ht="15">
      <c r="A4" s="384" t="s">
        <v>463</v>
      </c>
      <c r="B4" s="384"/>
      <c r="C4" s="384"/>
      <c r="D4" s="384"/>
    </row>
    <row r="6" spans="1:41" s="279" customFormat="1" ht="45.75" customHeight="1">
      <c r="A6" s="81" t="s">
        <v>207</v>
      </c>
      <c r="B6" s="81" t="s">
        <v>464</v>
      </c>
      <c r="C6" s="81" t="s">
        <v>465</v>
      </c>
      <c r="D6" s="81" t="s">
        <v>466</v>
      </c>
      <c r="E6" s="81" t="s">
        <v>467</v>
      </c>
      <c r="F6" s="81" t="s">
        <v>468</v>
      </c>
      <c r="G6" s="81" t="s">
        <v>469</v>
      </c>
      <c r="H6" s="81" t="s">
        <v>470</v>
      </c>
      <c r="I6" s="81" t="s">
        <v>471</v>
      </c>
      <c r="J6" s="81" t="s">
        <v>472</v>
      </c>
      <c r="K6" s="81" t="s">
        <v>473</v>
      </c>
      <c r="L6" s="81" t="s">
        <v>474</v>
      </c>
      <c r="M6" s="81" t="s">
        <v>475</v>
      </c>
      <c r="N6" s="81" t="s">
        <v>476</v>
      </c>
      <c r="O6" s="81" t="s">
        <v>477</v>
      </c>
      <c r="P6" s="81" t="s">
        <v>478</v>
      </c>
      <c r="Q6" s="81" t="s">
        <v>479</v>
      </c>
      <c r="R6" s="81" t="s">
        <v>480</v>
      </c>
      <c r="S6" s="81" t="s">
        <v>481</v>
      </c>
      <c r="T6" s="81" t="s">
        <v>482</v>
      </c>
      <c r="U6" s="81" t="s">
        <v>483</v>
      </c>
      <c r="V6" s="81" t="s">
        <v>484</v>
      </c>
      <c r="W6" s="81" t="s">
        <v>485</v>
      </c>
      <c r="X6" s="81" t="s">
        <v>486</v>
      </c>
      <c r="Y6" s="81" t="s">
        <v>487</v>
      </c>
      <c r="Z6" s="81" t="s">
        <v>488</v>
      </c>
      <c r="AA6" s="81" t="s">
        <v>489</v>
      </c>
      <c r="AB6" s="256" t="s">
        <v>490</v>
      </c>
      <c r="AC6" s="81" t="s">
        <v>491</v>
      </c>
      <c r="AD6" s="57" t="s">
        <v>492</v>
      </c>
      <c r="AE6" s="57" t="s">
        <v>493</v>
      </c>
      <c r="AF6" s="81" t="s">
        <v>494</v>
      </c>
      <c r="AG6" s="81" t="s">
        <v>495</v>
      </c>
      <c r="AH6" s="81" t="s">
        <v>496</v>
      </c>
      <c r="AI6" s="81" t="s">
        <v>497</v>
      </c>
      <c r="AJ6" s="81" t="s">
        <v>498</v>
      </c>
      <c r="AK6" s="81" t="s">
        <v>499</v>
      </c>
      <c r="AL6" s="81" t="s">
        <v>495</v>
      </c>
      <c r="AM6" s="81" t="s">
        <v>496</v>
      </c>
      <c r="AN6" s="81" t="s">
        <v>672</v>
      </c>
      <c r="AO6" s="81" t="s">
        <v>673</v>
      </c>
    </row>
    <row r="7" spans="1:41" s="282" customFormat="1" ht="7.5">
      <c r="A7" s="280">
        <v>1</v>
      </c>
      <c r="B7" s="280">
        <v>2</v>
      </c>
      <c r="C7" s="280">
        <v>3</v>
      </c>
      <c r="D7" s="280">
        <v>4</v>
      </c>
      <c r="E7" s="280">
        <v>5</v>
      </c>
      <c r="F7" s="280">
        <v>6</v>
      </c>
      <c r="G7" s="280">
        <v>7</v>
      </c>
      <c r="H7" s="280">
        <v>8</v>
      </c>
      <c r="I7" s="280">
        <v>9</v>
      </c>
      <c r="J7" s="280">
        <v>10</v>
      </c>
      <c r="K7" s="280">
        <v>11</v>
      </c>
      <c r="L7" s="280">
        <v>12</v>
      </c>
      <c r="M7" s="280">
        <v>13</v>
      </c>
      <c r="N7" s="280">
        <v>14</v>
      </c>
      <c r="O7" s="280">
        <v>15</v>
      </c>
      <c r="P7" s="280">
        <v>16</v>
      </c>
      <c r="Q7" s="280">
        <v>17</v>
      </c>
      <c r="R7" s="280">
        <v>18</v>
      </c>
      <c r="S7" s="280">
        <v>19</v>
      </c>
      <c r="T7" s="280">
        <v>17</v>
      </c>
      <c r="U7" s="280">
        <v>18</v>
      </c>
      <c r="V7" s="280">
        <v>19</v>
      </c>
      <c r="W7" s="280">
        <v>17</v>
      </c>
      <c r="X7" s="280">
        <v>18</v>
      </c>
      <c r="Y7" s="281">
        <v>19</v>
      </c>
      <c r="Z7" s="280">
        <v>20</v>
      </c>
      <c r="AA7" s="280">
        <v>21</v>
      </c>
      <c r="AB7" s="281">
        <v>22</v>
      </c>
      <c r="AC7" s="280">
        <v>23</v>
      </c>
      <c r="AD7" s="280">
        <v>24</v>
      </c>
      <c r="AE7" s="280">
        <v>25</v>
      </c>
      <c r="AF7" s="280">
        <v>23</v>
      </c>
      <c r="AG7" s="280">
        <v>24</v>
      </c>
      <c r="AH7" s="280">
        <v>25</v>
      </c>
      <c r="AI7" s="282">
        <v>24</v>
      </c>
      <c r="AJ7" s="282">
        <v>25</v>
      </c>
      <c r="AK7" s="280">
        <v>23</v>
      </c>
      <c r="AL7" s="280">
        <v>24</v>
      </c>
      <c r="AM7" s="280">
        <v>25</v>
      </c>
      <c r="AN7" s="282">
        <v>24</v>
      </c>
      <c r="AO7" s="282">
        <v>25</v>
      </c>
    </row>
    <row r="8" spans="1:41" ht="15">
      <c r="A8" s="283" t="s">
        <v>4</v>
      </c>
      <c r="B8" s="284" t="s">
        <v>500</v>
      </c>
      <c r="C8" s="283">
        <v>200</v>
      </c>
      <c r="D8" s="283" t="s">
        <v>501</v>
      </c>
      <c r="E8" s="285">
        <f>+E9+E19+E43+E48</f>
        <v>308252.63</v>
      </c>
      <c r="F8" s="285">
        <f>+F9+F19+F43+F48</f>
        <v>293861.93</v>
      </c>
      <c r="G8" s="286">
        <f>+F8/E8</f>
        <v>0.9533152401651852</v>
      </c>
      <c r="H8" s="285">
        <f>+H9+H19+H43+H48</f>
        <v>321576.07999999996</v>
      </c>
      <c r="I8" s="285">
        <f>+I9+I19+I43+I48</f>
        <v>307207.04</v>
      </c>
      <c r="J8" s="286">
        <f>+I8/H8</f>
        <v>0.9553168258037104</v>
      </c>
      <c r="K8" s="285">
        <f>+K9+K19+K43+K48</f>
        <v>348913.04999999993</v>
      </c>
      <c r="L8" s="285">
        <f>+L9+L19+L43+L48</f>
        <v>313560.82</v>
      </c>
      <c r="M8" s="286">
        <f>+L8/K8</f>
        <v>0.8986789688720443</v>
      </c>
      <c r="N8" s="285">
        <f>+N9+N19+N43+N48</f>
        <v>339799.16</v>
      </c>
      <c r="O8" s="285">
        <f>+O9+O19+O43+O48</f>
        <v>306172.8399999999</v>
      </c>
      <c r="P8" s="286">
        <f aca="true" t="shared" si="0" ref="P8:P13">+O8/N8</f>
        <v>0.9010406029255632</v>
      </c>
      <c r="Q8" s="285">
        <f>+Q9+Q19+Q43+Q48</f>
        <v>344879.00000000006</v>
      </c>
      <c r="R8" s="285">
        <f>+R9+R19+R43+R48</f>
        <v>338400.14738000004</v>
      </c>
      <c r="S8" s="286">
        <f>+R8/Q8</f>
        <v>0.9812141283754592</v>
      </c>
      <c r="T8" s="285">
        <f>+T9+T19+T43+T48</f>
        <v>389700.64107</v>
      </c>
      <c r="U8" s="285">
        <f>+U9+U19+U43+U48</f>
        <v>380952.07713</v>
      </c>
      <c r="V8" s="286">
        <f>+U8/T8</f>
        <v>0.977550552865453</v>
      </c>
      <c r="W8" s="285">
        <f>+W9+W19+W43+W48</f>
        <v>465080.52076000004</v>
      </c>
      <c r="X8" s="285">
        <f>+X9+X19+X43+X48</f>
        <v>455891.64432</v>
      </c>
      <c r="Y8" s="287">
        <f>+X8/W8</f>
        <v>0.9802423966822256</v>
      </c>
      <c r="Z8" s="285">
        <f>+Z9+Z19+Z43+Z48</f>
        <v>480937.32079</v>
      </c>
      <c r="AA8" s="285">
        <f>+AA9+AA19+AA43+AA48</f>
        <v>471462.2396699999</v>
      </c>
      <c r="AB8" s="287">
        <f>AA8/Z8</f>
        <v>0.9802987193748323</v>
      </c>
      <c r="AC8" s="285">
        <f>AC9+AC19+AC43+AC48</f>
        <v>502223.44995999994</v>
      </c>
      <c r="AD8" s="285">
        <f>AD9+AD19+AD43+AD48</f>
        <v>486213.9984</v>
      </c>
      <c r="AE8" s="288">
        <f>AD8/AC8</f>
        <v>0.968122851369694</v>
      </c>
      <c r="AF8" s="285">
        <f>AF9+AF19+AF43+AF48</f>
        <v>532772.09198</v>
      </c>
      <c r="AG8" s="285">
        <f>AG9+AG19+AG43+AG48</f>
        <v>263093.65460000007</v>
      </c>
      <c r="AH8" s="288">
        <f aca="true" t="shared" si="1" ref="AH8:AH13">AG8/AF8</f>
        <v>0.4938202630363688</v>
      </c>
      <c r="AI8" s="285">
        <f>AI9+AI19+AI43+AI48</f>
        <v>527409.04289</v>
      </c>
      <c r="AJ8" s="288">
        <f>+AI8/AF8</f>
        <v>0.9899336899009318</v>
      </c>
      <c r="AK8" s="285">
        <f>AK9+AK19+AK43+AK48</f>
        <v>685477.9809500001</v>
      </c>
      <c r="AL8" s="285">
        <f>AL9+AL19+AL43+AL48</f>
        <v>263093.65460000007</v>
      </c>
      <c r="AM8" s="288">
        <f aca="true" t="shared" si="2" ref="AM8:AM13">AL8/AK8</f>
        <v>0.3838105116598786</v>
      </c>
      <c r="AN8" s="285">
        <f>AN9+AN19+AN43+AN48</f>
        <v>672526.3551999999</v>
      </c>
      <c r="AO8" s="288">
        <f>+AN8/AK8</f>
        <v>0.9811057012625691</v>
      </c>
    </row>
    <row r="9" spans="1:41" ht="30.75">
      <c r="A9" s="221" t="s">
        <v>502</v>
      </c>
      <c r="B9" s="289" t="s">
        <v>503</v>
      </c>
      <c r="C9" s="221">
        <v>210</v>
      </c>
      <c r="D9" s="221">
        <v>21000</v>
      </c>
      <c r="E9" s="290">
        <f>E10+E12+E16</f>
        <v>15104.62</v>
      </c>
      <c r="F9" s="290">
        <f>F10+F12+F16</f>
        <v>14983.93</v>
      </c>
      <c r="G9" s="291">
        <f>+F9/E9</f>
        <v>0.9920097294734989</v>
      </c>
      <c r="H9" s="290">
        <f>H10+H12+H16</f>
        <v>18487.52</v>
      </c>
      <c r="I9" s="290">
        <f>I10+I12+I16</f>
        <v>18151.17</v>
      </c>
      <c r="J9" s="291">
        <f>+I9/H9</f>
        <v>0.9818066457805048</v>
      </c>
      <c r="K9" s="290">
        <f>K10+K12+K16</f>
        <v>20139.72</v>
      </c>
      <c r="L9" s="290">
        <f>L10+L12+L16</f>
        <v>19934.36</v>
      </c>
      <c r="M9" s="291">
        <f>+L9/K9</f>
        <v>0.989803234603063</v>
      </c>
      <c r="N9" s="290">
        <f>N10+N12+N16</f>
        <v>21347.88</v>
      </c>
      <c r="O9" s="290">
        <f>O10+O12+O16</f>
        <v>21215.61</v>
      </c>
      <c r="P9" s="291">
        <f t="shared" si="0"/>
        <v>0.9938040686007229</v>
      </c>
      <c r="Q9" s="290">
        <f>Q10+Q12+Q16</f>
        <v>23056.22</v>
      </c>
      <c r="R9" s="290">
        <f>R10+R12+R16</f>
        <v>23009.48</v>
      </c>
      <c r="S9" s="291">
        <f>+R9/Q9</f>
        <v>0.9979727813145433</v>
      </c>
      <c r="T9" s="290">
        <f>T10+T12+T16</f>
        <v>23248.33098</v>
      </c>
      <c r="U9" s="290">
        <f>U10+U12+U16</f>
        <v>23056.53967</v>
      </c>
      <c r="V9" s="291">
        <f>+U9/T9</f>
        <v>0.9917503191878594</v>
      </c>
      <c r="W9" s="290">
        <f>W10+W12+W16</f>
        <v>25692.59211</v>
      </c>
      <c r="X9" s="290">
        <f>X10+X12+X16</f>
        <v>25511.892809999998</v>
      </c>
      <c r="Y9" s="292">
        <f>+X9/W9</f>
        <v>0.9929668715703592</v>
      </c>
      <c r="Z9" s="290">
        <f>Z10+Z12+Z16</f>
        <v>27009.355579999996</v>
      </c>
      <c r="AA9" s="290">
        <f>AA10+AA12+AA16</f>
        <v>26967.60948</v>
      </c>
      <c r="AB9" s="292">
        <f>AA9/Z9</f>
        <v>0.9984543837087728</v>
      </c>
      <c r="AC9" s="290">
        <f>AC10+AC12+AC16</f>
        <v>27945.430109999998</v>
      </c>
      <c r="AD9" s="290">
        <f>AD10+AD12+AD16</f>
        <v>27861.259660000003</v>
      </c>
      <c r="AE9" s="293">
        <f>AD9/AC9</f>
        <v>0.9969880424216525</v>
      </c>
      <c r="AF9" s="290">
        <f>AF10+AF12+AF16+AF17</f>
        <v>28554.31186</v>
      </c>
      <c r="AG9" s="290">
        <f>AG10+AG12+AG16+AG17</f>
        <v>14585.563470000001</v>
      </c>
      <c r="AH9" s="293">
        <f t="shared" si="1"/>
        <v>0.5108007344569221</v>
      </c>
      <c r="AI9" s="290">
        <f>AI10+AI12+AI16+AI17</f>
        <v>28230.1475</v>
      </c>
      <c r="AJ9" s="293">
        <f>+AI9/AF9</f>
        <v>0.9886474462564757</v>
      </c>
      <c r="AK9" s="290">
        <f>AK10+AK12+AK16+AK17</f>
        <v>31340.595789999996</v>
      </c>
      <c r="AL9" s="290">
        <f>AL10+AL12+AL16+AL17</f>
        <v>14585.563470000001</v>
      </c>
      <c r="AM9" s="293">
        <f t="shared" si="2"/>
        <v>0.4653888384168463</v>
      </c>
      <c r="AN9" s="290">
        <f>AN10+AN12+AN16+AN17</f>
        <v>30921.26655</v>
      </c>
      <c r="AO9" s="293">
        <f>+AN9/AK9</f>
        <v>0.9866202530797519</v>
      </c>
    </row>
    <row r="10" spans="1:41" ht="15.75">
      <c r="A10" s="169" t="s">
        <v>504</v>
      </c>
      <c r="B10" s="57" t="s">
        <v>505</v>
      </c>
      <c r="C10" s="169">
        <v>211</v>
      </c>
      <c r="D10" s="169">
        <v>21100</v>
      </c>
      <c r="E10" s="294">
        <f>SUM(E11:E11)</f>
        <v>11930.74</v>
      </c>
      <c r="F10" s="294">
        <f>SUM(F11:F11)</f>
        <v>11930.51</v>
      </c>
      <c r="G10" s="295">
        <f>+F10/E10</f>
        <v>0.9999807220675332</v>
      </c>
      <c r="H10" s="294">
        <f>SUM(H11:H11)</f>
        <v>13462.5</v>
      </c>
      <c r="I10" s="294">
        <f>SUM(I11:I11)</f>
        <v>13462.49</v>
      </c>
      <c r="J10" s="295">
        <f>+I10/H10</f>
        <v>0.9999992571959145</v>
      </c>
      <c r="K10" s="294">
        <f>SUM(K11:K11)</f>
        <v>15138.22</v>
      </c>
      <c r="L10" s="294">
        <f>SUM(L11:L11)</f>
        <v>15138.22</v>
      </c>
      <c r="M10" s="295">
        <f>+L10/K10</f>
        <v>1</v>
      </c>
      <c r="N10" s="294">
        <f>SUM(N11:N11)</f>
        <v>16031.37</v>
      </c>
      <c r="O10" s="294">
        <f>SUM(O11:O11)</f>
        <v>16031.37</v>
      </c>
      <c r="P10" s="295">
        <f t="shared" si="0"/>
        <v>1</v>
      </c>
      <c r="Q10" s="294">
        <f>SUM(Q11:Q11)</f>
        <v>17494.46</v>
      </c>
      <c r="R10" s="294">
        <f>SUM(R11:R11)</f>
        <v>17494.46</v>
      </c>
      <c r="S10" s="295">
        <f>+R10/Q10</f>
        <v>1</v>
      </c>
      <c r="T10" s="294">
        <f>SUM(T11:T11)</f>
        <v>17055.82218</v>
      </c>
      <c r="U10" s="294">
        <f>SUM(U11:U11)</f>
        <v>17055.82218</v>
      </c>
      <c r="V10" s="295">
        <f>+U10/T10</f>
        <v>1</v>
      </c>
      <c r="W10" s="294">
        <f>SUM(W11:W11)</f>
        <v>19350.98389</v>
      </c>
      <c r="X10" s="294">
        <f>SUM(X11:X11)</f>
        <v>19325.03012</v>
      </c>
      <c r="Y10" s="296">
        <f>+X10/W10</f>
        <v>0.9986587880932808</v>
      </c>
      <c r="Z10" s="294">
        <f>SUM(Z11:Z11)</f>
        <v>20200.1</v>
      </c>
      <c r="AA10" s="294">
        <f>SUM(AA11:AA11)</f>
        <v>20196.594530000002</v>
      </c>
      <c r="AB10" s="296">
        <f>+AA10/Z10</f>
        <v>0.9998264627402836</v>
      </c>
      <c r="AC10" s="297">
        <f>(21031225)/1000</f>
        <v>21031.225</v>
      </c>
      <c r="AD10" s="297">
        <f>21021403.21/1000</f>
        <v>21021.40321</v>
      </c>
      <c r="AE10" s="298">
        <f>AD10/AC10</f>
        <v>0.9995329901135099</v>
      </c>
      <c r="AF10" s="297">
        <f>AF11</f>
        <v>21302.54086</v>
      </c>
      <c r="AG10" s="297">
        <f>AG11</f>
        <v>10945.52123</v>
      </c>
      <c r="AH10" s="298">
        <f t="shared" si="1"/>
        <v>0.5138129438142526</v>
      </c>
      <c r="AI10" s="297">
        <f>AI11</f>
        <v>21292.29218</v>
      </c>
      <c r="AJ10" s="298">
        <f>AI10/AF10</f>
        <v>0.9995188987047435</v>
      </c>
      <c r="AK10" s="297">
        <f>AK11</f>
        <v>23419.218229999995</v>
      </c>
      <c r="AL10" s="297">
        <f>AL11</f>
        <v>10945.52123</v>
      </c>
      <c r="AM10" s="298">
        <f t="shared" si="2"/>
        <v>0.46737346748743297</v>
      </c>
      <c r="AN10" s="297">
        <f>AN11</f>
        <v>23419.218230000002</v>
      </c>
      <c r="AO10" s="298">
        <f>AN10/AK10</f>
        <v>1.0000000000000002</v>
      </c>
    </row>
    <row r="11" spans="1:41" ht="31.5">
      <c r="A11" s="182" t="s">
        <v>506</v>
      </c>
      <c r="B11" s="38" t="s">
        <v>507</v>
      </c>
      <c r="C11" s="182">
        <v>211</v>
      </c>
      <c r="D11" s="182" t="s">
        <v>508</v>
      </c>
      <c r="E11" s="247">
        <v>11930.74</v>
      </c>
      <c r="F11" s="247">
        <v>11930.51</v>
      </c>
      <c r="G11" s="298">
        <f>+F11/E11</f>
        <v>0.9999807220675332</v>
      </c>
      <c r="H11" s="247">
        <v>13462.5</v>
      </c>
      <c r="I11" s="247">
        <v>13462.49</v>
      </c>
      <c r="J11" s="298">
        <f>+I11/H11</f>
        <v>0.9999992571959145</v>
      </c>
      <c r="K11" s="248">
        <v>15138.22</v>
      </c>
      <c r="L11" s="248">
        <v>15138.22</v>
      </c>
      <c r="M11" s="298">
        <f>+L11/K11</f>
        <v>1</v>
      </c>
      <c r="N11" s="248">
        <v>16031.37</v>
      </c>
      <c r="O11" s="248">
        <v>16031.37</v>
      </c>
      <c r="P11" s="298">
        <f t="shared" si="0"/>
        <v>1</v>
      </c>
      <c r="Q11" s="299">
        <f>17475.41+19.05</f>
        <v>17494.46</v>
      </c>
      <c r="R11" s="299">
        <f>17494.46</f>
        <v>17494.46</v>
      </c>
      <c r="S11" s="298">
        <f>+R11/Q11</f>
        <v>1</v>
      </c>
      <c r="T11" s="299">
        <f>17055822.18/1000</f>
        <v>17055.82218</v>
      </c>
      <c r="U11" s="299">
        <f>17055822.18/1000</f>
        <v>17055.82218</v>
      </c>
      <c r="V11" s="298">
        <f>+U11/T11</f>
        <v>1</v>
      </c>
      <c r="W11" s="299">
        <f>(19020700+20049.92+4101.7+306132.27)/1000</f>
        <v>19350.98389</v>
      </c>
      <c r="X11" s="299">
        <f>(280210.83+20049.92+4069.37+19020700)/1000</f>
        <v>19325.03012</v>
      </c>
      <c r="Y11" s="300">
        <f>+X11/W11</f>
        <v>0.9986587880932808</v>
      </c>
      <c r="Z11" s="248">
        <f>(19865265.05+4665.38+21034.09+309135.48)/1000</f>
        <v>20200.1</v>
      </c>
      <c r="AA11" s="248">
        <f>(19865265.05+4109.03+21034.09+306186.36)/1000</f>
        <v>20196.594530000002</v>
      </c>
      <c r="AB11" s="300">
        <f>+AA11/Z11</f>
        <v>0.9998264627402836</v>
      </c>
      <c r="AC11" s="248">
        <v>21030.83234</v>
      </c>
      <c r="AD11" s="248">
        <f>21021403.21/1000</f>
        <v>21021.40321</v>
      </c>
      <c r="AE11" s="298">
        <f>AD11/AC11</f>
        <v>0.9995516520769334</v>
      </c>
      <c r="AF11" s="248">
        <f>(21361813-59272.14)/1000</f>
        <v>21302.54086</v>
      </c>
      <c r="AG11" s="248">
        <f>(10981575.26-36054.03)/1000</f>
        <v>10945.52123</v>
      </c>
      <c r="AH11" s="298">
        <f t="shared" si="1"/>
        <v>0.5138129438142526</v>
      </c>
      <c r="AI11" s="248">
        <f>(21351564.32-59272.14)/1000</f>
        <v>21292.29218</v>
      </c>
      <c r="AJ11" s="298">
        <f>AI11/AF11</f>
        <v>0.9995188987047435</v>
      </c>
      <c r="AK11" s="248">
        <f>(22536552.78+6514.99+25011.33+315700+535439.13)/1000</f>
        <v>23419.218229999995</v>
      </c>
      <c r="AL11" s="248">
        <f>(10981575.26-36054.03)/1000</f>
        <v>10945.52123</v>
      </c>
      <c r="AM11" s="298">
        <f t="shared" si="2"/>
        <v>0.46737346748743297</v>
      </c>
      <c r="AN11" s="248">
        <f>(535439.13+315700+25011.33+6514.99+22536552.78)/1000</f>
        <v>23419.218230000002</v>
      </c>
      <c r="AO11" s="298">
        <f>AN11/AK11</f>
        <v>1.0000000000000002</v>
      </c>
    </row>
    <row r="12" spans="1:41" ht="15.75">
      <c r="A12" s="169" t="s">
        <v>509</v>
      </c>
      <c r="B12" s="57" t="s">
        <v>510</v>
      </c>
      <c r="C12" s="169">
        <v>212</v>
      </c>
      <c r="D12" s="169">
        <v>21200</v>
      </c>
      <c r="E12" s="247">
        <f>SUM(E13:E15)</f>
        <v>148.35</v>
      </c>
      <c r="F12" s="247">
        <f>SUM(F13:F15)</f>
        <v>142.96</v>
      </c>
      <c r="G12" s="298">
        <f>+F12/E12</f>
        <v>0.9636670037074487</v>
      </c>
      <c r="H12" s="247">
        <f>SUM(H13:H15)</f>
        <v>420.94</v>
      </c>
      <c r="I12" s="247">
        <f>SUM(I13:I15)</f>
        <v>413.91</v>
      </c>
      <c r="J12" s="298">
        <f>+I12/H12</f>
        <v>0.9832992825580843</v>
      </c>
      <c r="K12" s="247">
        <f>SUM(K13:K15)</f>
        <v>429.76</v>
      </c>
      <c r="L12" s="247">
        <f>SUM(L13:L15)</f>
        <v>429.76</v>
      </c>
      <c r="M12" s="298">
        <f>+L12/K12</f>
        <v>1</v>
      </c>
      <c r="N12" s="247">
        <f>SUM(N13:N15)</f>
        <v>475.03</v>
      </c>
      <c r="O12" s="247">
        <f>SUM(O13:O15)</f>
        <v>412.38</v>
      </c>
      <c r="P12" s="298">
        <f t="shared" si="0"/>
        <v>0.8681135928257163</v>
      </c>
      <c r="Q12" s="299">
        <f>SUM(Q13:Q15)</f>
        <v>487.66</v>
      </c>
      <c r="R12" s="299">
        <f>SUM(R13:R15)</f>
        <v>454.09</v>
      </c>
      <c r="S12" s="298">
        <f>+R12/Q12</f>
        <v>0.9311610548332854</v>
      </c>
      <c r="T12" s="299">
        <f>SUM(T13:T15)</f>
        <v>1041.6508</v>
      </c>
      <c r="U12" s="299">
        <f>SUM(U13:U15)</f>
        <v>950.25634</v>
      </c>
      <c r="V12" s="298">
        <f>+U12/T12</f>
        <v>0.9122599819440451</v>
      </c>
      <c r="W12" s="299">
        <f>SUM(W13:W15)</f>
        <v>497.56248</v>
      </c>
      <c r="X12" s="299">
        <f>SUM(X13:X15)</f>
        <v>459.42227</v>
      </c>
      <c r="Y12" s="300">
        <f>+X12/W12</f>
        <v>0.9233458881385108</v>
      </c>
      <c r="Z12" s="297">
        <f>Z15</f>
        <v>708.8555799999999</v>
      </c>
      <c r="AA12" s="297">
        <f>AA15</f>
        <v>703.91578</v>
      </c>
      <c r="AB12" s="296">
        <f>AA12/Z12</f>
        <v>0.9930313026526505</v>
      </c>
      <c r="AC12" s="297">
        <f>(489152)/1000</f>
        <v>489.152</v>
      </c>
      <c r="AD12" s="297">
        <f>AD15</f>
        <v>432.21325</v>
      </c>
      <c r="AE12" s="298">
        <f>AD12/AC12</f>
        <v>0.8835970209668979</v>
      </c>
      <c r="AF12" s="297">
        <f>AF13+AF14</f>
        <v>0</v>
      </c>
      <c r="AG12" s="297">
        <f>AG13+AG14</f>
        <v>0</v>
      </c>
      <c r="AH12" s="298" t="e">
        <f t="shared" si="1"/>
        <v>#DIV/0!</v>
      </c>
      <c r="AI12" s="297">
        <f>AI13+AI14</f>
        <v>0</v>
      </c>
      <c r="AJ12" s="298"/>
      <c r="AK12" s="297">
        <f>AK13+AK14</f>
        <v>0</v>
      </c>
      <c r="AL12" s="297">
        <f>AL13+AL14</f>
        <v>0</v>
      </c>
      <c r="AM12" s="298" t="e">
        <f t="shared" si="2"/>
        <v>#DIV/0!</v>
      </c>
      <c r="AN12" s="297">
        <f>AN13+AN14</f>
        <v>0</v>
      </c>
      <c r="AO12" s="298"/>
    </row>
    <row r="13" spans="1:41" ht="15.75">
      <c r="A13" s="51" t="s">
        <v>511</v>
      </c>
      <c r="B13" s="38" t="s">
        <v>512</v>
      </c>
      <c r="C13" s="182"/>
      <c r="D13" s="182" t="s">
        <v>513</v>
      </c>
      <c r="E13" s="247">
        <v>0</v>
      </c>
      <c r="F13" s="247">
        <v>0</v>
      </c>
      <c r="G13" s="298"/>
      <c r="H13" s="247">
        <v>0</v>
      </c>
      <c r="I13" s="247">
        <v>0</v>
      </c>
      <c r="J13" s="298"/>
      <c r="K13" s="248">
        <v>0</v>
      </c>
      <c r="L13" s="248">
        <v>0</v>
      </c>
      <c r="M13" s="298"/>
      <c r="N13" s="248">
        <v>0.5</v>
      </c>
      <c r="O13" s="248">
        <v>0.5</v>
      </c>
      <c r="P13" s="298">
        <f t="shared" si="0"/>
        <v>1</v>
      </c>
      <c r="Q13" s="299"/>
      <c r="R13" s="299"/>
      <c r="S13" s="298"/>
      <c r="T13" s="299"/>
      <c r="U13" s="299"/>
      <c r="V13" s="298"/>
      <c r="W13" s="299"/>
      <c r="X13" s="299"/>
      <c r="Y13" s="300"/>
      <c r="Z13" s="248"/>
      <c r="AA13" s="248"/>
      <c r="AB13" s="301"/>
      <c r="AC13" s="248"/>
      <c r="AD13" s="248"/>
      <c r="AE13" s="298"/>
      <c r="AF13" s="248"/>
      <c r="AG13" s="248">
        <v>0</v>
      </c>
      <c r="AH13" s="298" t="e">
        <f t="shared" si="1"/>
        <v>#DIV/0!</v>
      </c>
      <c r="AI13" s="248"/>
      <c r="AJ13" s="298"/>
      <c r="AK13" s="248"/>
      <c r="AL13" s="248">
        <v>0</v>
      </c>
      <c r="AM13" s="298" t="e">
        <f t="shared" si="2"/>
        <v>#DIV/0!</v>
      </c>
      <c r="AN13" s="248"/>
      <c r="AO13" s="298"/>
    </row>
    <row r="14" spans="1:41" ht="32.25" customHeight="1">
      <c r="A14" s="182" t="s">
        <v>514</v>
      </c>
      <c r="B14" s="38" t="s">
        <v>515</v>
      </c>
      <c r="C14" s="182"/>
      <c r="D14" s="182" t="s">
        <v>516</v>
      </c>
      <c r="E14" s="247">
        <v>0</v>
      </c>
      <c r="F14" s="247">
        <v>0</v>
      </c>
      <c r="G14" s="298"/>
      <c r="H14" s="247">
        <v>0</v>
      </c>
      <c r="I14" s="247">
        <v>0</v>
      </c>
      <c r="J14" s="298"/>
      <c r="K14" s="248">
        <v>0</v>
      </c>
      <c r="L14" s="248">
        <v>0</v>
      </c>
      <c r="M14" s="298"/>
      <c r="N14" s="248">
        <v>0</v>
      </c>
      <c r="O14" s="248">
        <v>0</v>
      </c>
      <c r="P14" s="298"/>
      <c r="Q14" s="299"/>
      <c r="R14" s="299"/>
      <c r="S14" s="298"/>
      <c r="T14" s="299"/>
      <c r="U14" s="299"/>
      <c r="V14" s="298"/>
      <c r="W14" s="299"/>
      <c r="X14" s="299"/>
      <c r="Y14" s="300"/>
      <c r="Z14" s="248"/>
      <c r="AA14" s="248"/>
      <c r="AB14" s="301"/>
      <c r="AC14" s="248"/>
      <c r="AD14" s="248"/>
      <c r="AE14" s="298"/>
      <c r="AF14" s="302"/>
      <c r="AG14" s="302"/>
      <c r="AH14" s="298"/>
      <c r="AI14" s="302"/>
      <c r="AJ14" s="298"/>
      <c r="AK14" s="248"/>
      <c r="AL14" s="248"/>
      <c r="AM14" s="298"/>
      <c r="AN14" s="248"/>
      <c r="AO14" s="298"/>
    </row>
    <row r="15" spans="1:41" ht="15.75">
      <c r="A15" s="182" t="s">
        <v>517</v>
      </c>
      <c r="B15" s="38" t="s">
        <v>518</v>
      </c>
      <c r="C15" s="182"/>
      <c r="D15" s="182" t="s">
        <v>519</v>
      </c>
      <c r="E15" s="303">
        <v>148.35</v>
      </c>
      <c r="F15" s="303">
        <v>142.96</v>
      </c>
      <c r="G15" s="304">
        <f>+F15/E15</f>
        <v>0.9636670037074487</v>
      </c>
      <c r="H15" s="303">
        <v>420.94</v>
      </c>
      <c r="I15" s="303">
        <v>413.91</v>
      </c>
      <c r="J15" s="304">
        <f>+I15/H15</f>
        <v>0.9832992825580843</v>
      </c>
      <c r="K15" s="305">
        <v>429.76</v>
      </c>
      <c r="L15" s="305">
        <v>429.76</v>
      </c>
      <c r="M15" s="304">
        <f>+L15/K15</f>
        <v>1</v>
      </c>
      <c r="N15" s="305">
        <v>474.53</v>
      </c>
      <c r="O15" s="305">
        <v>411.88</v>
      </c>
      <c r="P15" s="304">
        <f>+O15/N15</f>
        <v>0.8679746275261838</v>
      </c>
      <c r="Q15" s="306">
        <v>487.66</v>
      </c>
      <c r="R15" s="306">
        <v>454.09</v>
      </c>
      <c r="S15" s="304">
        <f>+R15/Q15</f>
        <v>0.9311610548332854</v>
      </c>
      <c r="T15" s="306">
        <f>(2520+668821.89+368122.8+2186.11)/1000</f>
        <v>1041.6508</v>
      </c>
      <c r="U15" s="306">
        <f>(368122.8+2463.55+577483.88+2186.11)/1000</f>
        <v>950.25634</v>
      </c>
      <c r="V15" s="304">
        <f>+U15/T15</f>
        <v>0.9122599819440451</v>
      </c>
      <c r="W15" s="306">
        <f>(475258.48+22304)/1000</f>
        <v>497.56248</v>
      </c>
      <c r="X15" s="306">
        <f>(445632.14+13790.13)/1000</f>
        <v>459.42227</v>
      </c>
      <c r="Y15" s="307">
        <f>+X15/W15</f>
        <v>0.9233458881385108</v>
      </c>
      <c r="Z15" s="308">
        <f>(2869.74+705985.84)/1000</f>
        <v>708.8555799999999</v>
      </c>
      <c r="AA15" s="308">
        <f>(2589.74+701326.04)/1000</f>
        <v>703.91578</v>
      </c>
      <c r="AB15" s="309">
        <f>AA15/Z15</f>
        <v>0.9930313026526505</v>
      </c>
      <c r="AC15" s="248">
        <f>489152.19/1000</f>
        <v>489.15219</v>
      </c>
      <c r="AD15" s="248">
        <f>(432213.25)/1000</f>
        <v>432.21325</v>
      </c>
      <c r="AE15" s="298">
        <f>AD15/AC15</f>
        <v>0.8835966777538091</v>
      </c>
      <c r="AF15" s="248"/>
      <c r="AG15" s="248"/>
      <c r="AH15" s="298"/>
      <c r="AI15" s="248"/>
      <c r="AJ15" s="298"/>
      <c r="AK15" s="248"/>
      <c r="AL15" s="248"/>
      <c r="AM15" s="298"/>
      <c r="AN15" s="248"/>
      <c r="AO15" s="298"/>
    </row>
    <row r="16" spans="1:41" ht="15.75">
      <c r="A16" s="169" t="s">
        <v>520</v>
      </c>
      <c r="B16" s="57" t="s">
        <v>521</v>
      </c>
      <c r="C16" s="169">
        <v>213</v>
      </c>
      <c r="D16" s="169">
        <v>21300</v>
      </c>
      <c r="E16" s="247">
        <v>3025.53</v>
      </c>
      <c r="F16" s="247">
        <v>2910.46</v>
      </c>
      <c r="G16" s="298">
        <f>+F16/E16</f>
        <v>0.9619669942125841</v>
      </c>
      <c r="H16" s="247">
        <v>4604.08</v>
      </c>
      <c r="I16" s="247">
        <v>4274.77</v>
      </c>
      <c r="J16" s="298">
        <f>+I16/H16</f>
        <v>0.9284743097426631</v>
      </c>
      <c r="K16" s="248">
        <v>4571.74</v>
      </c>
      <c r="L16" s="248">
        <v>4366.38</v>
      </c>
      <c r="M16" s="298">
        <f>+L16/K16</f>
        <v>0.9550805601368407</v>
      </c>
      <c r="N16" s="248">
        <v>4841.48</v>
      </c>
      <c r="O16" s="248">
        <v>4771.86</v>
      </c>
      <c r="P16" s="298">
        <f>+O16/N16</f>
        <v>0.9856200996389534</v>
      </c>
      <c r="Q16" s="299">
        <f>5007.5+5.8+60.8</f>
        <v>5074.1</v>
      </c>
      <c r="R16" s="299">
        <v>5060.93</v>
      </c>
      <c r="S16" s="298">
        <f>+R16/Q16</f>
        <v>0.997404465816598</v>
      </c>
      <c r="T16" s="299">
        <f>(5150858)/1000</f>
        <v>5150.858</v>
      </c>
      <c r="U16" s="299">
        <f>5050461.15/1000</f>
        <v>5050.46115</v>
      </c>
      <c r="V16" s="298">
        <f>+U16/T16</f>
        <v>0.9805087133056279</v>
      </c>
      <c r="W16" s="299">
        <f>(5744300+6055.08+1238.71+92451.95)/1000</f>
        <v>5844.0457400000005</v>
      </c>
      <c r="X16" s="299">
        <f>(84623.67+6055.08+1228.95+5635532.72)/1000</f>
        <v>5727.44042</v>
      </c>
      <c r="Y16" s="300">
        <f>+X16/W16</f>
        <v>0.9800471582209074</v>
      </c>
      <c r="Z16" s="248">
        <f>(93358.92+6352.3+1408.95+5999279.83)/1000</f>
        <v>6100.4</v>
      </c>
      <c r="AA16" s="248">
        <f>(92468.28+6352.3+1240.93+5967037.66)/1000</f>
        <v>6067.0991699999995</v>
      </c>
      <c r="AB16" s="300">
        <f>AA16/Z16</f>
        <v>0.9945412054947216</v>
      </c>
      <c r="AC16" s="248">
        <f>(6425053.11)/1000</f>
        <v>6425.053110000001</v>
      </c>
      <c r="AD16" s="248">
        <f>6407643.2/1000</f>
        <v>6407.6432</v>
      </c>
      <c r="AE16" s="298">
        <f>AD16/AC16</f>
        <v>0.9972903087800312</v>
      </c>
      <c r="AF16" s="248">
        <f>6519671/1000</f>
        <v>6519.671</v>
      </c>
      <c r="AG16" s="248">
        <f>3276466.94/1000</f>
        <v>3276.46694</v>
      </c>
      <c r="AH16" s="298">
        <f>AG16/AF16</f>
        <v>0.502550963077738</v>
      </c>
      <c r="AI16" s="248">
        <f>6380465.32/1000</f>
        <v>6380.46532</v>
      </c>
      <c r="AJ16" s="298">
        <f>AI16/AF16</f>
        <v>0.9786483581763559</v>
      </c>
      <c r="AK16" s="248">
        <f>(6825012+1967.53+7553.42+95342+161702.61+68400)/1000</f>
        <v>7159.97756</v>
      </c>
      <c r="AL16" s="248">
        <f>3276466.94/1000</f>
        <v>3276.46694</v>
      </c>
      <c r="AM16" s="298">
        <f>AL16/AK16</f>
        <v>0.4576085487061219</v>
      </c>
      <c r="AN16" s="248">
        <f>(161702.61+95342+7553.42+1967.53+6749166.91)/1000</f>
        <v>7015.73247</v>
      </c>
      <c r="AO16" s="298">
        <f>AN16/AK16</f>
        <v>0.9798539745702778</v>
      </c>
    </row>
    <row r="17" spans="1:41" ht="31.5">
      <c r="A17" s="169"/>
      <c r="B17" s="57" t="s">
        <v>522</v>
      </c>
      <c r="C17" s="169">
        <v>214</v>
      </c>
      <c r="D17" s="169">
        <v>214</v>
      </c>
      <c r="E17" s="247"/>
      <c r="F17" s="247"/>
      <c r="G17" s="298"/>
      <c r="H17" s="247"/>
      <c r="I17" s="247"/>
      <c r="J17" s="298"/>
      <c r="K17" s="248"/>
      <c r="L17" s="248"/>
      <c r="M17" s="298"/>
      <c r="N17" s="248"/>
      <c r="O17" s="248"/>
      <c r="P17" s="298"/>
      <c r="Q17" s="299"/>
      <c r="R17" s="299"/>
      <c r="S17" s="298"/>
      <c r="T17" s="299"/>
      <c r="U17" s="299"/>
      <c r="V17" s="298"/>
      <c r="W17" s="299"/>
      <c r="X17" s="299"/>
      <c r="Y17" s="300"/>
      <c r="Z17" s="248"/>
      <c r="AA17" s="248"/>
      <c r="AB17" s="300"/>
      <c r="AC17" s="248"/>
      <c r="AD17" s="248"/>
      <c r="AE17" s="298"/>
      <c r="AF17" s="248">
        <v>732.1</v>
      </c>
      <c r="AG17" s="248">
        <f>363575.3/1000</f>
        <v>363.57529999999997</v>
      </c>
      <c r="AH17" s="298">
        <f>AG17/AF17</f>
        <v>0.4966197240814096</v>
      </c>
      <c r="AI17" s="248">
        <v>557.39</v>
      </c>
      <c r="AJ17" s="298">
        <f>AI17/AF17</f>
        <v>0.7613577380139325</v>
      </c>
      <c r="AK17" s="248">
        <f>761400/1000</f>
        <v>761.4</v>
      </c>
      <c r="AL17" s="248">
        <f>363575.3/1000</f>
        <v>363.57529999999997</v>
      </c>
      <c r="AM17" s="298">
        <f>AL17/AK17</f>
        <v>0.4775089309167323</v>
      </c>
      <c r="AN17" s="248">
        <f>486315.85/1000</f>
        <v>486.31584999999995</v>
      </c>
      <c r="AO17" s="298">
        <f>AN17/AK17</f>
        <v>0.6387127002889413</v>
      </c>
    </row>
    <row r="18" spans="1:41" ht="15.75">
      <c r="A18" s="169"/>
      <c r="B18" s="57"/>
      <c r="C18" s="169"/>
      <c r="D18" s="169"/>
      <c r="E18" s="247"/>
      <c r="F18" s="247"/>
      <c r="G18" s="298"/>
      <c r="H18" s="247"/>
      <c r="I18" s="247"/>
      <c r="J18" s="298"/>
      <c r="K18" s="248"/>
      <c r="L18" s="248"/>
      <c r="M18" s="298"/>
      <c r="N18" s="248"/>
      <c r="O18" s="248"/>
      <c r="P18" s="298"/>
      <c r="Q18" s="299"/>
      <c r="R18" s="299"/>
      <c r="S18" s="298"/>
      <c r="T18" s="299"/>
      <c r="U18" s="299"/>
      <c r="V18" s="298"/>
      <c r="W18" s="299"/>
      <c r="X18" s="299"/>
      <c r="Y18" s="300"/>
      <c r="Z18" s="248"/>
      <c r="AA18" s="248"/>
      <c r="AB18" s="300"/>
      <c r="AC18" s="248"/>
      <c r="AD18" s="248"/>
      <c r="AE18" s="298"/>
      <c r="AF18" s="248"/>
      <c r="AG18" s="248"/>
      <c r="AH18" s="298"/>
      <c r="AI18" s="248"/>
      <c r="AJ18" s="298"/>
      <c r="AK18" s="248"/>
      <c r="AL18" s="248"/>
      <c r="AM18" s="298"/>
      <c r="AN18" s="248"/>
      <c r="AO18" s="298"/>
    </row>
    <row r="19" spans="1:41" ht="15.75">
      <c r="A19" s="221" t="s">
        <v>523</v>
      </c>
      <c r="B19" s="289" t="s">
        <v>524</v>
      </c>
      <c r="C19" s="221">
        <v>220</v>
      </c>
      <c r="D19" s="221">
        <v>22000</v>
      </c>
      <c r="E19" s="310">
        <f>E20+E21+E24+E26+E33</f>
        <v>4019.9300000000003</v>
      </c>
      <c r="F19" s="310">
        <f>F20+F21+F24+F26+F33</f>
        <v>3261.69</v>
      </c>
      <c r="G19" s="291">
        <f aca="true" t="shared" si="3" ref="G19:G24">+F19/E19</f>
        <v>0.8113798001457736</v>
      </c>
      <c r="H19" s="310">
        <f>H20+H21+H24+H26+H33</f>
        <v>3496.73</v>
      </c>
      <c r="I19" s="310">
        <f>I20+I21+I24+I26+I33</f>
        <v>2596.33</v>
      </c>
      <c r="J19" s="291">
        <f>+I19/H19</f>
        <v>0.7425022807022561</v>
      </c>
      <c r="K19" s="310">
        <f>K20+K21+K24+K26+K33</f>
        <v>3007.9399999999996</v>
      </c>
      <c r="L19" s="310">
        <f>L20+L21+L24+L26+L33</f>
        <v>2794.41</v>
      </c>
      <c r="M19" s="291">
        <f>+L19/K19</f>
        <v>0.9290112169790622</v>
      </c>
      <c r="N19" s="310">
        <f>N20+N21+N24+N26+N33</f>
        <v>3493.99</v>
      </c>
      <c r="O19" s="310">
        <f>O20+O21+O24+O26+O33</f>
        <v>3220.75</v>
      </c>
      <c r="P19" s="291">
        <f aca="true" t="shared" si="4" ref="P19:P24">+O19/N19</f>
        <v>0.9217971430942848</v>
      </c>
      <c r="Q19" s="310">
        <f>Q20+Q21+Q24+Q26+Q33</f>
        <v>3354.8500000000004</v>
      </c>
      <c r="R19" s="310">
        <f>R20+R21+R24+R26+R33</f>
        <v>2995.1873800000003</v>
      </c>
      <c r="S19" s="291">
        <f aca="true" t="shared" si="5" ref="S19:S24">+R19/Q19</f>
        <v>0.8927932336766174</v>
      </c>
      <c r="T19" s="310">
        <f>T20+T21+T24+T26+T33</f>
        <v>3208.51283</v>
      </c>
      <c r="U19" s="310">
        <f>U20+U21+U24+U26+U33</f>
        <v>2870.3601099999996</v>
      </c>
      <c r="V19" s="291">
        <f>+U19/T19</f>
        <v>0.8946076459977875</v>
      </c>
      <c r="W19" s="310">
        <f>W20+W21+W24+W26+W33</f>
        <v>3583.46387</v>
      </c>
      <c r="X19" s="310">
        <f>X20+X21+X24+X26+X33</f>
        <v>3417.03415</v>
      </c>
      <c r="Y19" s="292">
        <f>+X19/W19</f>
        <v>0.9535561886382296</v>
      </c>
      <c r="Z19" s="310">
        <f>Z20+Z21+Z24+Z26+Z33</f>
        <v>3388.29675</v>
      </c>
      <c r="AA19" s="310">
        <f>AA20+AA21+AA24+AA26+AA33</f>
        <v>3251.14872</v>
      </c>
      <c r="AB19" s="292">
        <f>+AA19/Z19</f>
        <v>0.9595230169848612</v>
      </c>
      <c r="AC19" s="290">
        <f>AC20+AC21+AC24+AC26+AC33</f>
        <v>4467.99515</v>
      </c>
      <c r="AD19" s="290">
        <f>AD20+AD21+AD24+AD26+AD33</f>
        <v>4327.66904</v>
      </c>
      <c r="AE19" s="293">
        <f>AD19/AC19</f>
        <v>0.9685930478236978</v>
      </c>
      <c r="AF19" s="290">
        <f>AF20+AF21+AF24+AF26+AF33+AF41+AF42</f>
        <v>5607.33588</v>
      </c>
      <c r="AG19" s="290">
        <f>AG20+AG21+AG24+AG26+AG33+AG41</f>
        <v>1611.21919</v>
      </c>
      <c r="AH19" s="293">
        <f>AG19/AF19</f>
        <v>0.28734130155228016</v>
      </c>
      <c r="AI19" s="290">
        <f>AI20+AI21+AI24+AI26+AI33+AI41+AI42</f>
        <v>5550.36086</v>
      </c>
      <c r="AJ19" s="293">
        <f>+AI19/AF19</f>
        <v>0.9898391997163545</v>
      </c>
      <c r="AK19" s="290">
        <f>AK20+AK21+AK24+AK26+AK33+AK41+AK42</f>
        <v>3510.42449</v>
      </c>
      <c r="AL19" s="290">
        <f>AL20+AL21+AL24+AL26+AL33+AL41</f>
        <v>1611.21919</v>
      </c>
      <c r="AM19" s="293">
        <f>AL19/AK19</f>
        <v>0.4589812982987707</v>
      </c>
      <c r="AN19" s="290">
        <f>AN20+AN21+AN24+AN26+AN33+AN41+AN42</f>
        <v>3445.3864599999997</v>
      </c>
      <c r="AO19" s="293">
        <f>+AN19/AK19</f>
        <v>0.9814728873430346</v>
      </c>
    </row>
    <row r="20" spans="1:41" ht="15.75">
      <c r="A20" s="169" t="s">
        <v>525</v>
      </c>
      <c r="B20" s="57" t="s">
        <v>526</v>
      </c>
      <c r="C20" s="169">
        <v>221</v>
      </c>
      <c r="D20" s="169">
        <v>22100</v>
      </c>
      <c r="E20" s="297">
        <v>1015.24</v>
      </c>
      <c r="F20" s="297">
        <v>601.87</v>
      </c>
      <c r="G20" s="295">
        <f t="shared" si="3"/>
        <v>0.5928351916788148</v>
      </c>
      <c r="H20" s="297">
        <v>1410.23</v>
      </c>
      <c r="I20" s="297">
        <v>586.01</v>
      </c>
      <c r="J20" s="295">
        <f>+I20/H20</f>
        <v>0.4155421456074541</v>
      </c>
      <c r="K20" s="297">
        <v>680.06</v>
      </c>
      <c r="L20" s="297">
        <v>595.28</v>
      </c>
      <c r="M20" s="295">
        <f>+L20/K20</f>
        <v>0.8753345293062377</v>
      </c>
      <c r="N20" s="297">
        <v>680.29</v>
      </c>
      <c r="O20" s="297">
        <v>650.37</v>
      </c>
      <c r="P20" s="295">
        <f t="shared" si="4"/>
        <v>0.9560187567066987</v>
      </c>
      <c r="Q20" s="297">
        <f>729.02</f>
        <v>729.02</v>
      </c>
      <c r="R20" s="297">
        <v>595.81738</v>
      </c>
      <c r="S20" s="295">
        <f t="shared" si="5"/>
        <v>0.8172853694000164</v>
      </c>
      <c r="T20" s="297">
        <f>(692988.7)/1000</f>
        <v>692.9887</v>
      </c>
      <c r="U20" s="297">
        <f>(653430.68)/1000</f>
        <v>653.43068</v>
      </c>
      <c r="V20" s="295">
        <f>+U20/T20</f>
        <v>0.9429167892636634</v>
      </c>
      <c r="W20" s="297">
        <f>(678316.14)/1000</f>
        <v>678.31614</v>
      </c>
      <c r="X20" s="297">
        <f>(617090.54)/1000</f>
        <v>617.09054</v>
      </c>
      <c r="Y20" s="296">
        <f>+X20/W20</f>
        <v>0.9097388424223549</v>
      </c>
      <c r="Z20" s="297">
        <f>(490689.02+39300+13300+1191+40+390+108+389.4+391+3593.35+7018+54+29100+55000)/1000</f>
        <v>640.56377</v>
      </c>
      <c r="AA20" s="297">
        <f>(489017.25+39300+12610.78+1108.11+31.34+360.04+106.2+389.4+324.83+2543.35+5470.32+46.02+27895.13+42697.17)/1000</f>
        <v>621.8999399999999</v>
      </c>
      <c r="AB20" s="296">
        <f>AA20/Z20</f>
        <v>0.9708634317548117</v>
      </c>
      <c r="AC20" s="297">
        <f>(659141)/1000</f>
        <v>659.141</v>
      </c>
      <c r="AD20" s="248">
        <f>(630939.83)/1000</f>
        <v>630.9398299999999</v>
      </c>
      <c r="AE20" s="298">
        <f>AD20/AC20</f>
        <v>0.957215269570547</v>
      </c>
      <c r="AF20" s="248">
        <v>684.33</v>
      </c>
      <c r="AG20" s="248">
        <f>(306324.85)/1000</f>
        <v>306.32484999999997</v>
      </c>
      <c r="AH20" s="298">
        <f>AG20/AF20</f>
        <v>0.44762738737158964</v>
      </c>
      <c r="AI20" s="248">
        <v>675.376</v>
      </c>
      <c r="AJ20" s="298">
        <f>+AI20/AF20</f>
        <v>0.986915669340815</v>
      </c>
      <c r="AK20" s="248">
        <f>775670.39/1000</f>
        <v>775.67039</v>
      </c>
      <c r="AL20" s="248">
        <f>(306324.85)/1000</f>
        <v>306.32484999999997</v>
      </c>
      <c r="AM20" s="298">
        <f>AL20/AK20</f>
        <v>0.39491626075864517</v>
      </c>
      <c r="AN20" s="248">
        <f>763560.37/1000</f>
        <v>763.56037</v>
      </c>
      <c r="AO20" s="298">
        <f>+AN20/AK20</f>
        <v>0.9843876727072178</v>
      </c>
    </row>
    <row r="21" spans="1:41" ht="15.75">
      <c r="A21" s="169" t="s">
        <v>527</v>
      </c>
      <c r="B21" s="57" t="s">
        <v>528</v>
      </c>
      <c r="C21" s="169">
        <v>222</v>
      </c>
      <c r="D21" s="169">
        <v>22200</v>
      </c>
      <c r="E21" s="294">
        <f>SUM(E22:E23)</f>
        <v>31.13</v>
      </c>
      <c r="F21" s="294">
        <f>SUM(F22:F23)</f>
        <v>30.4</v>
      </c>
      <c r="G21" s="295">
        <f t="shared" si="3"/>
        <v>0.9765499518149695</v>
      </c>
      <c r="H21" s="294">
        <f>SUM(H22:H23)</f>
        <v>0</v>
      </c>
      <c r="I21" s="294">
        <f>SUM(I22:I23)</f>
        <v>0</v>
      </c>
      <c r="J21" s="295"/>
      <c r="K21" s="294">
        <f>SUM(K22:K23)</f>
        <v>21.91</v>
      </c>
      <c r="L21" s="294">
        <f>SUM(L22:L23)</f>
        <v>21.91</v>
      </c>
      <c r="M21" s="295">
        <f>+L21/K21</f>
        <v>1</v>
      </c>
      <c r="N21" s="294">
        <f>SUM(N22:N23)</f>
        <v>30.41</v>
      </c>
      <c r="O21" s="294">
        <f>SUM(O22:O23)</f>
        <v>30.41</v>
      </c>
      <c r="P21" s="295">
        <f t="shared" si="4"/>
        <v>1</v>
      </c>
      <c r="Q21" s="294">
        <f>SUM(Q22:Q23)</f>
        <v>39.5</v>
      </c>
      <c r="R21" s="294">
        <f>SUM(R22:R23)</f>
        <v>39.5</v>
      </c>
      <c r="S21" s="295">
        <f t="shared" si="5"/>
        <v>1</v>
      </c>
      <c r="T21" s="294">
        <f>SUM(T22:T23)</f>
        <v>30.5</v>
      </c>
      <c r="U21" s="294">
        <f>SUM(U22:U23)</f>
        <v>30.5</v>
      </c>
      <c r="V21" s="295">
        <f>+U21/T21</f>
        <v>1</v>
      </c>
      <c r="W21" s="294">
        <f>SUM(W22:W23)</f>
        <v>29.233</v>
      </c>
      <c r="X21" s="294">
        <f>SUM(X22:X23)</f>
        <v>29.233</v>
      </c>
      <c r="Y21" s="296">
        <f>+X21/W21</f>
        <v>1</v>
      </c>
      <c r="Z21" s="297">
        <f>Z22+Z23</f>
        <v>43.8495</v>
      </c>
      <c r="AA21" s="297">
        <f>AA22+AA23</f>
        <v>43.8495</v>
      </c>
      <c r="AB21" s="300">
        <f>AA21/Z21</f>
        <v>1</v>
      </c>
      <c r="AC21" s="297">
        <f>AC22+AC23</f>
        <v>37.61906</v>
      </c>
      <c r="AD21" s="297">
        <f>AD22+AD23</f>
        <v>37.61906</v>
      </c>
      <c r="AE21" s="298">
        <f>AD21/AC21</f>
        <v>1</v>
      </c>
      <c r="AF21" s="297">
        <f>AF22+AF23</f>
        <v>16.14406</v>
      </c>
      <c r="AG21" s="297">
        <f>AG22+AG23</f>
        <v>10.844059999999999</v>
      </c>
      <c r="AH21" s="298">
        <f>AG21/AF21</f>
        <v>0.6717058781991643</v>
      </c>
      <c r="AI21" s="297">
        <f>AI22+AI23</f>
        <v>16.14406</v>
      </c>
      <c r="AJ21" s="298">
        <f>+AI21/AF21</f>
        <v>1</v>
      </c>
      <c r="AK21" s="297">
        <f>AK22+AK23</f>
        <v>19.939439999999998</v>
      </c>
      <c r="AL21" s="297">
        <f>AL22+AL23</f>
        <v>10.844059999999999</v>
      </c>
      <c r="AM21" s="298">
        <f>AL21/AK21</f>
        <v>0.5438497771251349</v>
      </c>
      <c r="AN21" s="297">
        <f>AN22+AN23</f>
        <v>19.939439999999998</v>
      </c>
      <c r="AO21" s="298">
        <f>+AN21/AK21</f>
        <v>1</v>
      </c>
    </row>
    <row r="22" spans="1:41" ht="15.75">
      <c r="A22" s="182" t="s">
        <v>529</v>
      </c>
      <c r="B22" s="38" t="s">
        <v>512</v>
      </c>
      <c r="C22" s="182"/>
      <c r="D22" s="182" t="s">
        <v>530</v>
      </c>
      <c r="E22" s="303">
        <v>1</v>
      </c>
      <c r="F22" s="303">
        <v>1</v>
      </c>
      <c r="G22" s="304">
        <f t="shared" si="3"/>
        <v>1</v>
      </c>
      <c r="H22" s="303">
        <v>0</v>
      </c>
      <c r="I22" s="303">
        <v>0</v>
      </c>
      <c r="J22" s="304"/>
      <c r="K22" s="305">
        <v>0</v>
      </c>
      <c r="L22" s="305">
        <v>0</v>
      </c>
      <c r="M22" s="304"/>
      <c r="N22" s="305">
        <v>12</v>
      </c>
      <c r="O22" s="305">
        <v>12</v>
      </c>
      <c r="P22" s="304">
        <f t="shared" si="4"/>
        <v>1</v>
      </c>
      <c r="Q22" s="305">
        <v>1</v>
      </c>
      <c r="R22" s="305">
        <v>1</v>
      </c>
      <c r="S22" s="304">
        <f t="shared" si="5"/>
        <v>1</v>
      </c>
      <c r="T22" s="305">
        <v>0</v>
      </c>
      <c r="U22" s="305">
        <v>0</v>
      </c>
      <c r="V22" s="304"/>
      <c r="W22" s="305">
        <v>0</v>
      </c>
      <c r="X22" s="305">
        <v>0</v>
      </c>
      <c r="Y22" s="307"/>
      <c r="Z22" s="308">
        <v>0</v>
      </c>
      <c r="AA22" s="308">
        <v>0</v>
      </c>
      <c r="AB22" s="311"/>
      <c r="AC22" s="248"/>
      <c r="AD22" s="248"/>
      <c r="AE22" s="298"/>
      <c r="AF22" s="248"/>
      <c r="AG22" s="248"/>
      <c r="AH22" s="298"/>
      <c r="AI22" s="248"/>
      <c r="AJ22" s="298"/>
      <c r="AK22" s="248"/>
      <c r="AL22" s="248"/>
      <c r="AM22" s="298"/>
      <c r="AN22" s="248"/>
      <c r="AO22" s="298"/>
    </row>
    <row r="23" spans="1:41" ht="31.5">
      <c r="A23" s="182" t="s">
        <v>531</v>
      </c>
      <c r="B23" s="38" t="s">
        <v>532</v>
      </c>
      <c r="C23" s="182"/>
      <c r="D23" s="182" t="s">
        <v>533</v>
      </c>
      <c r="E23" s="303">
        <v>30.13</v>
      </c>
      <c r="F23" s="303">
        <v>29.4</v>
      </c>
      <c r="G23" s="304">
        <f t="shared" si="3"/>
        <v>0.9757716561566545</v>
      </c>
      <c r="H23" s="303">
        <v>0</v>
      </c>
      <c r="I23" s="303">
        <v>0</v>
      </c>
      <c r="J23" s="304"/>
      <c r="K23" s="305">
        <v>21.91</v>
      </c>
      <c r="L23" s="305">
        <v>21.91</v>
      </c>
      <c r="M23" s="304">
        <f>+L23/K23</f>
        <v>1</v>
      </c>
      <c r="N23" s="305">
        <v>18.41</v>
      </c>
      <c r="O23" s="305">
        <v>18.41</v>
      </c>
      <c r="P23" s="304">
        <f t="shared" si="4"/>
        <v>1</v>
      </c>
      <c r="Q23" s="305">
        <v>38.5</v>
      </c>
      <c r="R23" s="305">
        <v>38.5</v>
      </c>
      <c r="S23" s="304">
        <f t="shared" si="5"/>
        <v>1</v>
      </c>
      <c r="T23" s="305">
        <f>30500/1000</f>
        <v>30.5</v>
      </c>
      <c r="U23" s="305">
        <f>30500/1000</f>
        <v>30.5</v>
      </c>
      <c r="V23" s="304">
        <f>+U23/T23</f>
        <v>1</v>
      </c>
      <c r="W23" s="305">
        <f>29233/1000</f>
        <v>29.233</v>
      </c>
      <c r="X23" s="305">
        <f>29233/1000</f>
        <v>29.233</v>
      </c>
      <c r="Y23" s="307">
        <f>+X23/W23</f>
        <v>1</v>
      </c>
      <c r="Z23" s="308">
        <f>43849.5/1000</f>
        <v>43.8495</v>
      </c>
      <c r="AA23" s="308">
        <f>43849.5/1000</f>
        <v>43.8495</v>
      </c>
      <c r="AB23" s="309">
        <f>AA23/Z23</f>
        <v>1</v>
      </c>
      <c r="AC23" s="248">
        <f>37619.06/1000</f>
        <v>37.61906</v>
      </c>
      <c r="AD23" s="248">
        <f>37619.06/1000</f>
        <v>37.61906</v>
      </c>
      <c r="AE23" s="298">
        <f>AD23/AC23</f>
        <v>1</v>
      </c>
      <c r="AF23" s="248">
        <f>16144.06/1000</f>
        <v>16.14406</v>
      </c>
      <c r="AG23" s="248">
        <f>10844.06/1000</f>
        <v>10.844059999999999</v>
      </c>
      <c r="AH23" s="298">
        <f>AG23/AF23</f>
        <v>0.6717058781991643</v>
      </c>
      <c r="AI23" s="248">
        <f>16144.06/1000</f>
        <v>16.14406</v>
      </c>
      <c r="AJ23" s="298">
        <f>+AI23/AF23</f>
        <v>1</v>
      </c>
      <c r="AK23" s="248">
        <f>19939.44/1000</f>
        <v>19.939439999999998</v>
      </c>
      <c r="AL23" s="248">
        <f>10844.06/1000</f>
        <v>10.844059999999999</v>
      </c>
      <c r="AM23" s="298">
        <f>AL23/AK23</f>
        <v>0.5438497771251349</v>
      </c>
      <c r="AN23" s="248">
        <f>19939.44/1000</f>
        <v>19.939439999999998</v>
      </c>
      <c r="AO23" s="298">
        <f>+AN23/AK23</f>
        <v>1</v>
      </c>
    </row>
    <row r="24" spans="1:41" ht="15.75">
      <c r="A24" s="169" t="s">
        <v>534</v>
      </c>
      <c r="B24" s="57" t="s">
        <v>535</v>
      </c>
      <c r="C24" s="169">
        <v>223</v>
      </c>
      <c r="D24" s="169">
        <v>22300</v>
      </c>
      <c r="E24" s="294">
        <v>538.5</v>
      </c>
      <c r="F24" s="294">
        <v>528.38</v>
      </c>
      <c r="G24" s="295">
        <f t="shared" si="3"/>
        <v>0.9812070566388115</v>
      </c>
      <c r="H24" s="294">
        <v>573.17</v>
      </c>
      <c r="I24" s="294">
        <v>541.38</v>
      </c>
      <c r="J24" s="295">
        <f>+I24/H24</f>
        <v>0.9445365249402446</v>
      </c>
      <c r="K24" s="297">
        <v>587.7</v>
      </c>
      <c r="L24" s="297">
        <v>572.02</v>
      </c>
      <c r="M24" s="295">
        <f>+L24/K24</f>
        <v>0.9733197209460608</v>
      </c>
      <c r="N24" s="297">
        <v>632.05</v>
      </c>
      <c r="O24" s="297">
        <v>565.8</v>
      </c>
      <c r="P24" s="295">
        <f t="shared" si="4"/>
        <v>0.8951823431690531</v>
      </c>
      <c r="Q24" s="297">
        <v>709.2</v>
      </c>
      <c r="R24" s="297">
        <v>545.6</v>
      </c>
      <c r="S24" s="295">
        <f t="shared" si="5"/>
        <v>0.7693175408911449</v>
      </c>
      <c r="T24" s="297">
        <f>758682.08/1000</f>
        <v>758.6820799999999</v>
      </c>
      <c r="U24" s="297">
        <f>540246.56/1000</f>
        <v>540.24656</v>
      </c>
      <c r="V24" s="295">
        <f>+U24/T24</f>
        <v>0.7120855681736942</v>
      </c>
      <c r="W24" s="297">
        <f>824334.09/1000</f>
        <v>824.33409</v>
      </c>
      <c r="X24" s="297">
        <f>804951.32/1000</f>
        <v>804.9513199999999</v>
      </c>
      <c r="Y24" s="296">
        <f>+X24/W24</f>
        <v>0.9764867542964285</v>
      </c>
      <c r="Z24" s="297">
        <f>751656.05/1000</f>
        <v>751.65605</v>
      </c>
      <c r="AA24" s="297">
        <f>747899.6/1000</f>
        <v>747.8996</v>
      </c>
      <c r="AB24" s="296">
        <f>AA24/Z24</f>
        <v>0.9950024349567863</v>
      </c>
      <c r="AC24" s="297">
        <f>(862450.97)/1000</f>
        <v>862.45097</v>
      </c>
      <c r="AD24" s="297">
        <f>(776720.69)/1000</f>
        <v>776.72069</v>
      </c>
      <c r="AE24" s="298">
        <f>AD24/AC24</f>
        <v>0.900596923208284</v>
      </c>
      <c r="AF24" s="297">
        <f>(905535.6)/1000</f>
        <v>905.5355999999999</v>
      </c>
      <c r="AG24" s="297">
        <f>(419071.63)/1000</f>
        <v>419.07163</v>
      </c>
      <c r="AH24" s="298">
        <f>AG24/AF24</f>
        <v>0.4627886855028119</v>
      </c>
      <c r="AI24" s="297">
        <f>886916.7/1000</f>
        <v>886.9167</v>
      </c>
      <c r="AJ24" s="298">
        <f>+AI24/AF24</f>
        <v>0.9794387984304538</v>
      </c>
      <c r="AK24" s="297">
        <f>847430.51/1000</f>
        <v>847.43051</v>
      </c>
      <c r="AL24" s="297">
        <f>(419071.63)/1000</f>
        <v>419.07163</v>
      </c>
      <c r="AM24" s="298">
        <f>AL24/AK24</f>
        <v>0.49452034716097254</v>
      </c>
      <c r="AN24" s="297">
        <f>814596.92/1000</f>
        <v>814.5969200000001</v>
      </c>
      <c r="AO24" s="298">
        <f>+AN24/AK24</f>
        <v>0.9612551240337099</v>
      </c>
    </row>
    <row r="25" spans="1:41" ht="31.5">
      <c r="A25" s="169" t="s">
        <v>536</v>
      </c>
      <c r="B25" s="57" t="s">
        <v>537</v>
      </c>
      <c r="C25" s="169">
        <v>224</v>
      </c>
      <c r="D25" s="169">
        <v>22400</v>
      </c>
      <c r="E25" s="294">
        <v>0</v>
      </c>
      <c r="F25" s="294">
        <v>0</v>
      </c>
      <c r="G25" s="295"/>
      <c r="H25" s="294">
        <v>0</v>
      </c>
      <c r="I25" s="294">
        <v>0</v>
      </c>
      <c r="J25" s="295"/>
      <c r="K25" s="297">
        <v>0</v>
      </c>
      <c r="L25" s="297">
        <v>0</v>
      </c>
      <c r="M25" s="295"/>
      <c r="N25" s="297">
        <v>0</v>
      </c>
      <c r="O25" s="297">
        <v>0</v>
      </c>
      <c r="P25" s="295"/>
      <c r="Q25" s="297"/>
      <c r="R25" s="297"/>
      <c r="S25" s="295"/>
      <c r="T25" s="297"/>
      <c r="U25" s="297"/>
      <c r="V25" s="295"/>
      <c r="W25" s="297"/>
      <c r="X25" s="297"/>
      <c r="Y25" s="296"/>
      <c r="Z25" s="248"/>
      <c r="AA25" s="248"/>
      <c r="AB25" s="301"/>
      <c r="AC25" s="248"/>
      <c r="AD25" s="248"/>
      <c r="AE25" s="298"/>
      <c r="AF25" s="248"/>
      <c r="AG25" s="248"/>
      <c r="AH25" s="298"/>
      <c r="AI25" s="248"/>
      <c r="AJ25" s="298"/>
      <c r="AK25" s="248"/>
      <c r="AL25" s="248"/>
      <c r="AM25" s="298"/>
      <c r="AN25" s="248"/>
      <c r="AO25" s="298"/>
    </row>
    <row r="26" spans="1:41" ht="31.5" customHeight="1">
      <c r="A26" s="169" t="s">
        <v>538</v>
      </c>
      <c r="B26" s="57" t="s">
        <v>539</v>
      </c>
      <c r="C26" s="169">
        <v>225</v>
      </c>
      <c r="D26" s="169">
        <v>22500</v>
      </c>
      <c r="E26" s="294">
        <f>SUM(E27:E32)</f>
        <v>491.83000000000004</v>
      </c>
      <c r="F26" s="294">
        <f>SUM(F27:F32)</f>
        <v>491.83000000000004</v>
      </c>
      <c r="G26" s="295">
        <f>+F26/E26</f>
        <v>1</v>
      </c>
      <c r="H26" s="294">
        <f>SUM(H27:H32)</f>
        <v>327.93</v>
      </c>
      <c r="I26" s="294">
        <f>SUM(I27:I32)</f>
        <v>317.70000000000005</v>
      </c>
      <c r="J26" s="295">
        <f>+I26/H26</f>
        <v>0.9688043179946941</v>
      </c>
      <c r="K26" s="294">
        <f>SUM(K27:K32)</f>
        <v>427.59</v>
      </c>
      <c r="L26" s="294">
        <f>SUM(L27:L32)</f>
        <v>411.07</v>
      </c>
      <c r="M26" s="295">
        <f>+L26/K26</f>
        <v>0.961364858860123</v>
      </c>
      <c r="N26" s="294">
        <f>SUM(N27:N32)</f>
        <v>710.5799999999999</v>
      </c>
      <c r="O26" s="294">
        <f>SUM(O27:O32)</f>
        <v>710.24</v>
      </c>
      <c r="P26" s="295">
        <f aca="true" t="shared" si="6" ref="P26:P33">+O26/N26</f>
        <v>0.9995215176334826</v>
      </c>
      <c r="Q26" s="294">
        <f>SUM(Q27:Q32)</f>
        <v>636.6400000000001</v>
      </c>
      <c r="R26" s="294">
        <f>SUM(R27:R32)</f>
        <v>636.6400000000001</v>
      </c>
      <c r="S26" s="295">
        <f aca="true" t="shared" si="7" ref="S26:S33">+R26/Q26</f>
        <v>1</v>
      </c>
      <c r="T26" s="294">
        <f>SUM(T27:T32)</f>
        <v>585.633</v>
      </c>
      <c r="U26" s="294">
        <f>SUM(U27:U32)</f>
        <v>585.633</v>
      </c>
      <c r="V26" s="295">
        <f aca="true" t="shared" si="8" ref="V26:V33">+U26/T26</f>
        <v>1</v>
      </c>
      <c r="W26" s="294">
        <f>SUM(W27:W32)</f>
        <v>634.71866</v>
      </c>
      <c r="X26" s="294">
        <f>SUM(X27:X32)</f>
        <v>634.71866</v>
      </c>
      <c r="Y26" s="296">
        <f>+X26/W26</f>
        <v>1</v>
      </c>
      <c r="Z26" s="297">
        <f>SUM(Z27:Z32)</f>
        <v>697.13281</v>
      </c>
      <c r="AA26" s="297">
        <f>SUM(AA27:AA32)</f>
        <v>695.36641</v>
      </c>
      <c r="AB26" s="296">
        <f aca="true" t="shared" si="9" ref="AB26:AB33">AA26/Z26</f>
        <v>0.9974661929912609</v>
      </c>
      <c r="AC26" s="297">
        <f>SUM(AC27:AC32)</f>
        <v>1622.77112</v>
      </c>
      <c r="AD26" s="297">
        <f>SUM(AD27:AD32)</f>
        <v>1614.28831</v>
      </c>
      <c r="AE26" s="298">
        <f>AD26/AC26</f>
        <v>0.9947726392863091</v>
      </c>
      <c r="AF26" s="297">
        <v>2257.201</v>
      </c>
      <c r="AG26" s="297">
        <f>413304.57/1000</f>
        <v>413.30457</v>
      </c>
      <c r="AH26" s="298">
        <f>AG26/AF26</f>
        <v>0.18310490293066503</v>
      </c>
      <c r="AI26" s="297">
        <f>2256470.1/1000</f>
        <v>2256.4701</v>
      </c>
      <c r="AJ26" s="298">
        <f>+AI26/AF26</f>
        <v>0.9996761918854369</v>
      </c>
      <c r="AK26" s="297">
        <f>819103.51/1000</f>
        <v>819.10351</v>
      </c>
      <c r="AL26" s="297">
        <f>413304.57/1000</f>
        <v>413.30457</v>
      </c>
      <c r="AM26" s="298">
        <f>AL26/AK26</f>
        <v>0.5045816126462455</v>
      </c>
      <c r="AN26" s="297">
        <f>819097.47/1000</f>
        <v>819.0974699999999</v>
      </c>
      <c r="AO26" s="298">
        <f>+AN26/AK26</f>
        <v>0.9999926260845835</v>
      </c>
    </row>
    <row r="27" spans="1:41" ht="31.5">
      <c r="A27" s="182" t="s">
        <v>540</v>
      </c>
      <c r="B27" s="38" t="s">
        <v>541</v>
      </c>
      <c r="C27" s="182"/>
      <c r="D27" s="182" t="s">
        <v>542</v>
      </c>
      <c r="E27" s="247">
        <v>135.53</v>
      </c>
      <c r="F27" s="247">
        <v>135.53</v>
      </c>
      <c r="G27" s="298">
        <f>+F27/E27</f>
        <v>1</v>
      </c>
      <c r="H27" s="247">
        <v>141.43</v>
      </c>
      <c r="I27" s="247">
        <v>141.43</v>
      </c>
      <c r="J27" s="298">
        <f>+I27/H27</f>
        <v>1</v>
      </c>
      <c r="K27" s="248">
        <v>165.23</v>
      </c>
      <c r="L27" s="248">
        <v>148.85</v>
      </c>
      <c r="M27" s="298">
        <f>+L27/K27</f>
        <v>0.9008654602675059</v>
      </c>
      <c r="N27" s="248">
        <v>196.03</v>
      </c>
      <c r="O27" s="248">
        <v>196.03</v>
      </c>
      <c r="P27" s="298">
        <f t="shared" si="6"/>
        <v>1</v>
      </c>
      <c r="Q27" s="248">
        <v>226.33</v>
      </c>
      <c r="R27" s="248">
        <v>226.33</v>
      </c>
      <c r="S27" s="298">
        <f t="shared" si="7"/>
        <v>1</v>
      </c>
      <c r="T27" s="248">
        <f>(209729.1+8066.76)/1000</f>
        <v>217.79586</v>
      </c>
      <c r="U27" s="248">
        <f>(8066.76+209729.1)/1000</f>
        <v>217.79586</v>
      </c>
      <c r="V27" s="298">
        <f t="shared" si="8"/>
        <v>1</v>
      </c>
      <c r="W27" s="248">
        <f>(6816+3582.48+236252.01)/1000</f>
        <v>246.65049000000002</v>
      </c>
      <c r="X27" s="248">
        <f>(236252.01+3582.48+6816)/1000</f>
        <v>246.65049000000002</v>
      </c>
      <c r="Y27" s="300">
        <f>+X27/W27</f>
        <v>1</v>
      </c>
      <c r="Z27" s="248">
        <f>(276800+11420.88)/1000</f>
        <v>288.22088</v>
      </c>
      <c r="AA27" s="248">
        <f>(276800+11420.88)/1000</f>
        <v>288.22088</v>
      </c>
      <c r="AB27" s="300">
        <f t="shared" si="9"/>
        <v>1</v>
      </c>
      <c r="AC27" s="248">
        <f>(380133.47)/1000</f>
        <v>380.13347</v>
      </c>
      <c r="AD27" s="248">
        <f>(380133.47)/1000</f>
        <v>380.13347</v>
      </c>
      <c r="AE27" s="298">
        <f>AD27/AC27</f>
        <v>1</v>
      </c>
      <c r="AF27" s="248"/>
      <c r="AG27" s="248"/>
      <c r="AH27" s="298"/>
      <c r="AI27" s="248"/>
      <c r="AJ27" s="298"/>
      <c r="AK27" s="248"/>
      <c r="AL27" s="248"/>
      <c r="AM27" s="298"/>
      <c r="AN27" s="248"/>
      <c r="AO27" s="298"/>
    </row>
    <row r="28" spans="1:41" ht="47.25">
      <c r="A28" s="182" t="s">
        <v>543</v>
      </c>
      <c r="B28" s="38" t="s">
        <v>544</v>
      </c>
      <c r="C28" s="182"/>
      <c r="D28" s="182" t="s">
        <v>545</v>
      </c>
      <c r="E28" s="303">
        <v>205.19</v>
      </c>
      <c r="F28" s="303">
        <v>205.19</v>
      </c>
      <c r="G28" s="304">
        <f>+F28/E28</f>
        <v>1</v>
      </c>
      <c r="H28" s="303">
        <v>0</v>
      </c>
      <c r="I28" s="303">
        <v>0</v>
      </c>
      <c r="J28" s="304"/>
      <c r="K28" s="305">
        <v>71.8</v>
      </c>
      <c r="L28" s="305">
        <v>71.8</v>
      </c>
      <c r="M28" s="304">
        <f>+L28/K28</f>
        <v>1</v>
      </c>
      <c r="N28" s="305">
        <v>50</v>
      </c>
      <c r="O28" s="305">
        <v>50</v>
      </c>
      <c r="P28" s="304">
        <f t="shared" si="6"/>
        <v>1</v>
      </c>
      <c r="Q28" s="305">
        <v>47.03</v>
      </c>
      <c r="R28" s="305">
        <v>47.03</v>
      </c>
      <c r="S28" s="304">
        <f t="shared" si="7"/>
        <v>1</v>
      </c>
      <c r="T28" s="305">
        <f>(53597+7600+900)/1000</f>
        <v>62.097</v>
      </c>
      <c r="U28" s="305">
        <f>(53597+7600+900)/1000</f>
        <v>62.097</v>
      </c>
      <c r="V28" s="304">
        <f t="shared" si="8"/>
        <v>1</v>
      </c>
      <c r="W28" s="305">
        <f>(85000+900)/1000</f>
        <v>85.9</v>
      </c>
      <c r="X28" s="305">
        <f>(85000+900)/1000</f>
        <v>85.9</v>
      </c>
      <c r="Y28" s="307">
        <f>+X28/W28</f>
        <v>1</v>
      </c>
      <c r="Z28" s="308">
        <f>(60000+22909.8+900)/1000</f>
        <v>83.80980000000001</v>
      </c>
      <c r="AA28" s="308">
        <f>(60000+900+22909.8)/1000</f>
        <v>83.80980000000001</v>
      </c>
      <c r="AB28" s="309">
        <f t="shared" si="9"/>
        <v>1</v>
      </c>
      <c r="AC28" s="248">
        <f>76868.2/1000</f>
        <v>76.8682</v>
      </c>
      <c r="AD28" s="248">
        <f>74555.09/1000</f>
        <v>74.55508999999999</v>
      </c>
      <c r="AE28" s="298">
        <f>AD28/AC28</f>
        <v>0.9699081024402808</v>
      </c>
      <c r="AF28" s="248"/>
      <c r="AG28" s="248"/>
      <c r="AH28" s="298"/>
      <c r="AI28" s="248"/>
      <c r="AJ28" s="298"/>
      <c r="AK28" s="248"/>
      <c r="AL28" s="248"/>
      <c r="AM28" s="298"/>
      <c r="AN28" s="248"/>
      <c r="AO28" s="298"/>
    </row>
    <row r="29" spans="1:41" ht="79.5" customHeight="1">
      <c r="A29" s="182" t="s">
        <v>546</v>
      </c>
      <c r="B29" s="38" t="s">
        <v>547</v>
      </c>
      <c r="C29" s="182"/>
      <c r="D29" s="182" t="s">
        <v>548</v>
      </c>
      <c r="E29" s="303">
        <v>0</v>
      </c>
      <c r="F29" s="303">
        <v>0</v>
      </c>
      <c r="G29" s="304"/>
      <c r="H29" s="303">
        <v>3</v>
      </c>
      <c r="I29" s="303">
        <v>2.71</v>
      </c>
      <c r="J29" s="304">
        <f>+I29/H29</f>
        <v>0.9033333333333333</v>
      </c>
      <c r="K29" s="305">
        <v>3.15</v>
      </c>
      <c r="L29" s="305">
        <v>3.02</v>
      </c>
      <c r="M29" s="304">
        <f>+L29/K29</f>
        <v>0.9587301587301588</v>
      </c>
      <c r="N29" s="305">
        <v>3.5</v>
      </c>
      <c r="O29" s="305">
        <v>3.5</v>
      </c>
      <c r="P29" s="304">
        <f t="shared" si="6"/>
        <v>1</v>
      </c>
      <c r="Q29" s="305">
        <v>2.98</v>
      </c>
      <c r="R29" s="305">
        <v>2.98</v>
      </c>
      <c r="S29" s="304">
        <f t="shared" si="7"/>
        <v>1</v>
      </c>
      <c r="T29" s="305">
        <f>3475/1000</f>
        <v>3.475</v>
      </c>
      <c r="U29" s="305">
        <f>3475/1000</f>
        <v>3.475</v>
      </c>
      <c r="V29" s="304">
        <f t="shared" si="8"/>
        <v>1</v>
      </c>
      <c r="W29" s="305">
        <f>3840/1000</f>
        <v>3.84</v>
      </c>
      <c r="X29" s="305">
        <f>3840/1000</f>
        <v>3.84</v>
      </c>
      <c r="Y29" s="307">
        <f>+X29/W29</f>
        <v>1</v>
      </c>
      <c r="Z29" s="308">
        <f>3840/1000</f>
        <v>3.84</v>
      </c>
      <c r="AA29" s="308">
        <f>3840/1000</f>
        <v>3.84</v>
      </c>
      <c r="AB29" s="309">
        <f t="shared" si="9"/>
        <v>1</v>
      </c>
      <c r="AC29" s="248">
        <f>5246.2/1000</f>
        <v>5.2462</v>
      </c>
      <c r="AD29" s="248">
        <f>5246.2/1000</f>
        <v>5.2462</v>
      </c>
      <c r="AE29" s="298">
        <f>AD29/AC29</f>
        <v>1</v>
      </c>
      <c r="AF29" s="248"/>
      <c r="AG29" s="248"/>
      <c r="AH29" s="298"/>
      <c r="AI29" s="248"/>
      <c r="AJ29" s="298"/>
      <c r="AK29" s="248"/>
      <c r="AL29" s="248"/>
      <c r="AM29" s="298"/>
      <c r="AN29" s="248"/>
      <c r="AO29" s="298"/>
    </row>
    <row r="30" spans="1:41" ht="78.75">
      <c r="A30" s="182" t="s">
        <v>549</v>
      </c>
      <c r="B30" s="38" t="s">
        <v>550</v>
      </c>
      <c r="C30" s="182"/>
      <c r="D30" s="182" t="s">
        <v>551</v>
      </c>
      <c r="E30" s="303">
        <v>0</v>
      </c>
      <c r="F30" s="303">
        <v>0</v>
      </c>
      <c r="G30" s="304"/>
      <c r="H30" s="303">
        <v>25</v>
      </c>
      <c r="I30" s="303">
        <v>25</v>
      </c>
      <c r="J30" s="304">
        <f>+I30/H30</f>
        <v>1</v>
      </c>
      <c r="K30" s="305">
        <v>15</v>
      </c>
      <c r="L30" s="305">
        <v>15</v>
      </c>
      <c r="M30" s="304">
        <f>+L30/K30</f>
        <v>1</v>
      </c>
      <c r="N30" s="305">
        <v>64.85</v>
      </c>
      <c r="O30" s="305">
        <v>64.85</v>
      </c>
      <c r="P30" s="304">
        <f t="shared" si="6"/>
        <v>1</v>
      </c>
      <c r="Q30" s="305">
        <v>30</v>
      </c>
      <c r="R30" s="305">
        <v>30</v>
      </c>
      <c r="S30" s="304">
        <f t="shared" si="7"/>
        <v>1</v>
      </c>
      <c r="T30" s="305">
        <f>15000/1000</f>
        <v>15</v>
      </c>
      <c r="U30" s="305">
        <f>15000/1000</f>
        <v>15</v>
      </c>
      <c r="V30" s="304">
        <f t="shared" si="8"/>
        <v>1</v>
      </c>
      <c r="W30" s="305">
        <v>0</v>
      </c>
      <c r="X30" s="305">
        <f>0/1000</f>
        <v>0</v>
      </c>
      <c r="Y30" s="307"/>
      <c r="Z30" s="308">
        <f>22500/1000</f>
        <v>22.5</v>
      </c>
      <c r="AA30" s="308">
        <f>22500/1000</f>
        <v>22.5</v>
      </c>
      <c r="AB30" s="309">
        <f t="shared" si="9"/>
        <v>1</v>
      </c>
      <c r="AC30" s="248"/>
      <c r="AD30" s="248"/>
      <c r="AE30" s="298"/>
      <c r="AF30" s="248"/>
      <c r="AG30" s="248"/>
      <c r="AH30" s="298"/>
      <c r="AI30" s="248"/>
      <c r="AJ30" s="298"/>
      <c r="AK30" s="248"/>
      <c r="AL30" s="248"/>
      <c r="AM30" s="298"/>
      <c r="AN30" s="248"/>
      <c r="AO30" s="298"/>
    </row>
    <row r="31" spans="1:41" ht="47.25">
      <c r="A31" s="182" t="s">
        <v>552</v>
      </c>
      <c r="B31" s="38" t="s">
        <v>553</v>
      </c>
      <c r="C31" s="182"/>
      <c r="D31" s="182" t="s">
        <v>554</v>
      </c>
      <c r="E31" s="303">
        <v>0</v>
      </c>
      <c r="F31" s="303">
        <v>0</v>
      </c>
      <c r="G31" s="304"/>
      <c r="H31" s="303">
        <v>0</v>
      </c>
      <c r="I31" s="303">
        <v>0</v>
      </c>
      <c r="J31" s="304"/>
      <c r="K31" s="305">
        <v>0</v>
      </c>
      <c r="L31" s="305">
        <v>0</v>
      </c>
      <c r="M31" s="304"/>
      <c r="N31" s="305">
        <v>202</v>
      </c>
      <c r="O31" s="305">
        <v>201.98</v>
      </c>
      <c r="P31" s="304">
        <f t="shared" si="6"/>
        <v>0.9999009900990099</v>
      </c>
      <c r="Q31" s="305">
        <v>166.74</v>
      </c>
      <c r="R31" s="305">
        <v>166.74</v>
      </c>
      <c r="S31" s="304">
        <f t="shared" si="7"/>
        <v>1</v>
      </c>
      <c r="T31" s="305">
        <f>120592.82/1000</f>
        <v>120.59282</v>
      </c>
      <c r="U31" s="305">
        <f>120592.82/1000</f>
        <v>120.59282</v>
      </c>
      <c r="V31" s="304">
        <f t="shared" si="8"/>
        <v>1</v>
      </c>
      <c r="W31" s="305">
        <f>(84999+3000+12446.75)/1000</f>
        <v>100.44575</v>
      </c>
      <c r="X31" s="305">
        <f>(12446.75+3000+84999)/1000</f>
        <v>100.44575</v>
      </c>
      <c r="Y31" s="307">
        <f>+X31/W31</f>
        <v>1</v>
      </c>
      <c r="Z31" s="308">
        <f>(3934.12+63440.65+3500+1753.13)/1000</f>
        <v>72.62790000000001</v>
      </c>
      <c r="AA31" s="308">
        <f>(3934.12+63440.65+3500+1753.13)/1000</f>
        <v>72.62790000000001</v>
      </c>
      <c r="AB31" s="309">
        <f t="shared" si="9"/>
        <v>1</v>
      </c>
      <c r="AC31" s="248">
        <f>(953141.25)/1000</f>
        <v>953.14125</v>
      </c>
      <c r="AD31" s="248">
        <f>953141.28/1000</f>
        <v>953.14128</v>
      </c>
      <c r="AE31" s="298">
        <f>AD31/AC31</f>
        <v>1.0000000314748732</v>
      </c>
      <c r="AF31" s="248"/>
      <c r="AG31" s="248"/>
      <c r="AH31" s="298"/>
      <c r="AI31" s="248"/>
      <c r="AJ31" s="298"/>
      <c r="AK31" s="248"/>
      <c r="AL31" s="248"/>
      <c r="AM31" s="298"/>
      <c r="AN31" s="248"/>
      <c r="AO31" s="298"/>
    </row>
    <row r="32" spans="1:41" ht="31.5">
      <c r="A32" s="182" t="s">
        <v>555</v>
      </c>
      <c r="B32" s="38" t="s">
        <v>556</v>
      </c>
      <c r="C32" s="182"/>
      <c r="D32" s="182" t="s">
        <v>557</v>
      </c>
      <c r="E32" s="303">
        <v>151.11</v>
      </c>
      <c r="F32" s="303">
        <v>151.11</v>
      </c>
      <c r="G32" s="304">
        <f>+F32/E32</f>
        <v>1</v>
      </c>
      <c r="H32" s="303">
        <v>158.5</v>
      </c>
      <c r="I32" s="303">
        <v>148.56</v>
      </c>
      <c r="J32" s="304">
        <f>+I32/H32</f>
        <v>0.9372870662460568</v>
      </c>
      <c r="K32" s="305">
        <v>172.41</v>
      </c>
      <c r="L32" s="305">
        <v>172.4</v>
      </c>
      <c r="M32" s="304">
        <f>+L32/K32</f>
        <v>0.9999419987239719</v>
      </c>
      <c r="N32" s="305">
        <v>194.2</v>
      </c>
      <c r="O32" s="305">
        <v>193.88</v>
      </c>
      <c r="P32" s="304">
        <f t="shared" si="6"/>
        <v>0.9983522142121525</v>
      </c>
      <c r="Q32" s="305">
        <v>163.56</v>
      </c>
      <c r="R32" s="305">
        <v>163.56</v>
      </c>
      <c r="S32" s="304">
        <f t="shared" si="7"/>
        <v>1</v>
      </c>
      <c r="T32" s="305">
        <f>(165712.32+960)/1000</f>
        <v>166.67232</v>
      </c>
      <c r="U32" s="305">
        <f>(960+165712.32)/1000</f>
        <v>166.67232</v>
      </c>
      <c r="V32" s="304">
        <f t="shared" si="8"/>
        <v>1</v>
      </c>
      <c r="W32" s="305">
        <f>(1180+175505.62+21196.8)/1000</f>
        <v>197.88242</v>
      </c>
      <c r="X32" s="305">
        <f>(1180+175505.62+21196.8)/1000</f>
        <v>197.88242</v>
      </c>
      <c r="Y32" s="307">
        <f>+X32/W32</f>
        <v>1</v>
      </c>
      <c r="Z32" s="308">
        <f>(185817.43+5520+1200+21196.8+2400+10000)/1000</f>
        <v>226.13422999999997</v>
      </c>
      <c r="AA32" s="308">
        <f>(185817.43+5520+1200+19430.4+2400+10000)/1000</f>
        <v>224.36783</v>
      </c>
      <c r="AB32" s="309">
        <f t="shared" si="9"/>
        <v>0.9921887102187051</v>
      </c>
      <c r="AC32" s="248">
        <f>207382/1000</f>
        <v>207.382</v>
      </c>
      <c r="AD32" s="248">
        <f>201212.27/1000</f>
        <v>201.21227</v>
      </c>
      <c r="AE32" s="298">
        <f>AD32/AC32</f>
        <v>0.9702494430567744</v>
      </c>
      <c r="AF32" s="248"/>
      <c r="AG32" s="248"/>
      <c r="AH32" s="298"/>
      <c r="AI32" s="248"/>
      <c r="AJ32" s="298"/>
      <c r="AK32" s="248"/>
      <c r="AL32" s="248"/>
      <c r="AM32" s="298"/>
      <c r="AN32" s="248"/>
      <c r="AO32" s="298"/>
    </row>
    <row r="33" spans="1:41" ht="15.75">
      <c r="A33" s="169" t="s">
        <v>558</v>
      </c>
      <c r="B33" s="57" t="s">
        <v>559</v>
      </c>
      <c r="C33" s="169">
        <v>226</v>
      </c>
      <c r="D33" s="169">
        <v>22600</v>
      </c>
      <c r="E33" s="294">
        <f>SUM(E34:E40)</f>
        <v>1943.23</v>
      </c>
      <c r="F33" s="294">
        <f>SUM(F34:F40)</f>
        <v>1609.21</v>
      </c>
      <c r="G33" s="295">
        <f>+F33/E33</f>
        <v>0.8281109287114752</v>
      </c>
      <c r="H33" s="294">
        <f>SUM(H34:H40)</f>
        <v>1185.4</v>
      </c>
      <c r="I33" s="294">
        <f>SUM(I34:I40)</f>
        <v>1151.2399999999998</v>
      </c>
      <c r="J33" s="295">
        <f>+I33/H33</f>
        <v>0.9711827231314322</v>
      </c>
      <c r="K33" s="294">
        <f>SUM(K34:K40)</f>
        <v>1290.6799999999998</v>
      </c>
      <c r="L33" s="294">
        <f>SUM(L34:L40)</f>
        <v>1194.13</v>
      </c>
      <c r="M33" s="295">
        <f>+L33/K33</f>
        <v>0.9251944711314968</v>
      </c>
      <c r="N33" s="294">
        <f>SUM(N34:N40)</f>
        <v>1440.6599999999999</v>
      </c>
      <c r="O33" s="294">
        <f>SUM(O34:O40)</f>
        <v>1263.9299999999998</v>
      </c>
      <c r="P33" s="295">
        <f t="shared" si="6"/>
        <v>0.8773270584315522</v>
      </c>
      <c r="Q33" s="294">
        <f>SUM(Q34:Q40)</f>
        <v>1240.49</v>
      </c>
      <c r="R33" s="294">
        <f>SUM(R34:R40)</f>
        <v>1177.63</v>
      </c>
      <c r="S33" s="295">
        <f t="shared" si="7"/>
        <v>0.9493264758281003</v>
      </c>
      <c r="T33" s="294">
        <f>SUM(T34:T40)</f>
        <v>1140.70905</v>
      </c>
      <c r="U33" s="294">
        <f>SUM(U34:U40)</f>
        <v>1060.5498699999998</v>
      </c>
      <c r="V33" s="295">
        <f t="shared" si="8"/>
        <v>0.9297286367632481</v>
      </c>
      <c r="W33" s="294">
        <f>SUM(W34:W40)</f>
        <v>1416.8619800000001</v>
      </c>
      <c r="X33" s="294">
        <f>SUM(X34:X40)</f>
        <v>1331.04063</v>
      </c>
      <c r="Y33" s="296">
        <f>+X33/W33</f>
        <v>0.9394285744049677</v>
      </c>
      <c r="Z33" s="297">
        <f>SUM(Z34:Z40)</f>
        <v>1255.0946199999998</v>
      </c>
      <c r="AA33" s="297">
        <f>SUM(AA34:AA40)</f>
        <v>1142.13327</v>
      </c>
      <c r="AB33" s="296">
        <f t="shared" si="9"/>
        <v>0.9099977418435593</v>
      </c>
      <c r="AC33" s="297">
        <f>SUM(AC34:AC40)</f>
        <v>1286.013</v>
      </c>
      <c r="AD33" s="297">
        <f>SUM(AD34:AD40)</f>
        <v>1268.10115</v>
      </c>
      <c r="AE33" s="298">
        <f>AD33/AC33</f>
        <v>0.986071797096919</v>
      </c>
      <c r="AF33" s="297">
        <f>1735625.22/1000</f>
        <v>1735.62522</v>
      </c>
      <c r="AG33" s="297">
        <f>461674.08/1000</f>
        <v>461.67408</v>
      </c>
      <c r="AH33" s="298">
        <f>AG33/AF33</f>
        <v>0.2659987160131264</v>
      </c>
      <c r="AI33" s="297">
        <v>1706.954</v>
      </c>
      <c r="AJ33" s="298">
        <f>+AI33/AF33</f>
        <v>0.9834807539844346</v>
      </c>
      <c r="AK33" s="297">
        <f>1043746.45/1000</f>
        <v>1043.7464499999999</v>
      </c>
      <c r="AL33" s="297">
        <f>461674.08/1000</f>
        <v>461.67408</v>
      </c>
      <c r="AM33" s="298">
        <f>AL33/AK33</f>
        <v>0.44232397628753617</v>
      </c>
      <c r="AN33" s="297">
        <f>1023658.07/1000</f>
        <v>1023.65807</v>
      </c>
      <c r="AO33" s="298">
        <f>+AN33/AK33</f>
        <v>0.9807535824433224</v>
      </c>
    </row>
    <row r="34" spans="1:41" ht="31.5">
      <c r="A34" s="182" t="s">
        <v>560</v>
      </c>
      <c r="B34" s="38" t="s">
        <v>561</v>
      </c>
      <c r="C34" s="182"/>
      <c r="D34" s="182" t="s">
        <v>562</v>
      </c>
      <c r="E34" s="303">
        <v>40</v>
      </c>
      <c r="F34" s="303">
        <v>40</v>
      </c>
      <c r="G34" s="304">
        <f>+F34/E34</f>
        <v>1</v>
      </c>
      <c r="H34" s="303">
        <v>0</v>
      </c>
      <c r="I34" s="303">
        <v>0</v>
      </c>
      <c r="J34" s="304"/>
      <c r="K34" s="305">
        <v>0</v>
      </c>
      <c r="L34" s="305">
        <v>0</v>
      </c>
      <c r="M34" s="304"/>
      <c r="N34" s="305">
        <v>0</v>
      </c>
      <c r="O34" s="305">
        <v>0</v>
      </c>
      <c r="P34" s="304"/>
      <c r="Q34" s="305"/>
      <c r="R34" s="305"/>
      <c r="S34" s="304"/>
      <c r="T34" s="305"/>
      <c r="U34" s="305"/>
      <c r="V34" s="304"/>
      <c r="W34" s="305"/>
      <c r="X34" s="305"/>
      <c r="Y34" s="307"/>
      <c r="Z34" s="308"/>
      <c r="AA34" s="308"/>
      <c r="AB34" s="311"/>
      <c r="AC34" s="248"/>
      <c r="AD34" s="248"/>
      <c r="AE34" s="298"/>
      <c r="AF34" s="248"/>
      <c r="AG34" s="248"/>
      <c r="AH34" s="298"/>
      <c r="AI34" s="248"/>
      <c r="AJ34" s="298"/>
      <c r="AK34" s="248"/>
      <c r="AL34" s="248"/>
      <c r="AM34" s="298"/>
      <c r="AN34" s="248"/>
      <c r="AO34" s="298"/>
    </row>
    <row r="35" spans="1:41" ht="15.75">
      <c r="A35" s="182" t="s">
        <v>563</v>
      </c>
      <c r="B35" s="38" t="s">
        <v>564</v>
      </c>
      <c r="C35" s="182"/>
      <c r="D35" s="182" t="s">
        <v>565</v>
      </c>
      <c r="E35" s="303">
        <v>0</v>
      </c>
      <c r="F35" s="303">
        <v>0</v>
      </c>
      <c r="G35" s="304"/>
      <c r="H35" s="303">
        <v>0</v>
      </c>
      <c r="I35" s="303">
        <v>0</v>
      </c>
      <c r="J35" s="304"/>
      <c r="K35" s="305">
        <v>0</v>
      </c>
      <c r="L35" s="305">
        <v>0</v>
      </c>
      <c r="M35" s="304"/>
      <c r="N35" s="305">
        <v>0</v>
      </c>
      <c r="O35" s="305">
        <v>0</v>
      </c>
      <c r="P35" s="304"/>
      <c r="Q35" s="305"/>
      <c r="R35" s="305"/>
      <c r="S35" s="304"/>
      <c r="T35" s="305"/>
      <c r="U35" s="305"/>
      <c r="V35" s="304"/>
      <c r="W35" s="305"/>
      <c r="X35" s="305"/>
      <c r="Y35" s="307"/>
      <c r="Z35" s="308"/>
      <c r="AA35" s="308"/>
      <c r="AB35" s="311"/>
      <c r="AC35" s="248"/>
      <c r="AD35" s="248"/>
      <c r="AE35" s="298"/>
      <c r="AF35" s="248"/>
      <c r="AG35" s="248"/>
      <c r="AH35" s="298"/>
      <c r="AI35" s="248"/>
      <c r="AJ35" s="298"/>
      <c r="AK35" s="248"/>
      <c r="AL35" s="248"/>
      <c r="AM35" s="298"/>
      <c r="AN35" s="248"/>
      <c r="AO35" s="298"/>
    </row>
    <row r="36" spans="1:41" ht="15.75">
      <c r="A36" s="182" t="s">
        <v>566</v>
      </c>
      <c r="B36" s="38" t="s">
        <v>335</v>
      </c>
      <c r="C36" s="182"/>
      <c r="D36" s="182" t="s">
        <v>567</v>
      </c>
      <c r="E36" s="303">
        <v>560.8</v>
      </c>
      <c r="F36" s="303">
        <v>560.8</v>
      </c>
      <c r="G36" s="304">
        <f>+F36/E36</f>
        <v>1</v>
      </c>
      <c r="H36" s="303">
        <v>378.75</v>
      </c>
      <c r="I36" s="303">
        <v>374.57</v>
      </c>
      <c r="J36" s="304">
        <f>+I36/H36</f>
        <v>0.988963696369637</v>
      </c>
      <c r="K36" s="305">
        <v>415</v>
      </c>
      <c r="L36" s="305">
        <v>368.25</v>
      </c>
      <c r="M36" s="304">
        <f>+L36/K36</f>
        <v>0.8873493975903615</v>
      </c>
      <c r="N36" s="305">
        <v>373.29</v>
      </c>
      <c r="O36" s="305">
        <v>373.29</v>
      </c>
      <c r="P36" s="304">
        <f>+O36/N36</f>
        <v>1</v>
      </c>
      <c r="Q36" s="305">
        <v>399.21</v>
      </c>
      <c r="R36" s="305">
        <v>399.21</v>
      </c>
      <c r="S36" s="304">
        <f>+R36/Q36</f>
        <v>1</v>
      </c>
      <c r="T36" s="305">
        <f>315000/1000</f>
        <v>315</v>
      </c>
      <c r="U36" s="305">
        <f>315000/1000</f>
        <v>315</v>
      </c>
      <c r="V36" s="304">
        <f>+U36/T36</f>
        <v>1</v>
      </c>
      <c r="W36" s="305">
        <f>181387.82/1000</f>
        <v>181.38782</v>
      </c>
      <c r="X36" s="305">
        <f>181387.82/1000</f>
        <v>181.38782</v>
      </c>
      <c r="Y36" s="307">
        <f>+X36/W36</f>
        <v>1</v>
      </c>
      <c r="Z36" s="308">
        <f>156707.47/1000</f>
        <v>156.70747</v>
      </c>
      <c r="AA36" s="308">
        <v>156.71</v>
      </c>
      <c r="AB36" s="309">
        <f>AA36/Z36</f>
        <v>1.0000161447313265</v>
      </c>
      <c r="AC36" s="248">
        <f>(110664)/1000</f>
        <v>110.664</v>
      </c>
      <c r="AD36" s="248">
        <f>(110664)/1000</f>
        <v>110.664</v>
      </c>
      <c r="AE36" s="298">
        <f>AD36/AC36</f>
        <v>1</v>
      </c>
      <c r="AF36" s="248"/>
      <c r="AG36" s="248"/>
      <c r="AH36" s="298"/>
      <c r="AI36" s="248"/>
      <c r="AJ36" s="298"/>
      <c r="AK36" s="248"/>
      <c r="AL36" s="248"/>
      <c r="AM36" s="298"/>
      <c r="AN36" s="248"/>
      <c r="AO36" s="298"/>
    </row>
    <row r="37" spans="1:41" ht="15.75">
      <c r="A37" s="182" t="s">
        <v>568</v>
      </c>
      <c r="B37" s="38" t="s">
        <v>512</v>
      </c>
      <c r="C37" s="182"/>
      <c r="D37" s="182" t="s">
        <v>569</v>
      </c>
      <c r="E37" s="303">
        <v>0</v>
      </c>
      <c r="F37" s="303">
        <v>0</v>
      </c>
      <c r="G37" s="304"/>
      <c r="H37" s="303">
        <v>0</v>
      </c>
      <c r="I37" s="303">
        <v>0</v>
      </c>
      <c r="J37" s="304"/>
      <c r="K37" s="305">
        <v>0</v>
      </c>
      <c r="L37" s="305">
        <v>0</v>
      </c>
      <c r="M37" s="304"/>
      <c r="N37" s="305">
        <v>0</v>
      </c>
      <c r="O37" s="305">
        <v>0</v>
      </c>
      <c r="P37" s="304"/>
      <c r="Q37" s="305"/>
      <c r="R37" s="305"/>
      <c r="S37" s="304"/>
      <c r="T37" s="305"/>
      <c r="U37" s="305"/>
      <c r="V37" s="304"/>
      <c r="W37" s="305"/>
      <c r="X37" s="305"/>
      <c r="Y37" s="307"/>
      <c r="Z37" s="308"/>
      <c r="AA37" s="308"/>
      <c r="AB37" s="311"/>
      <c r="AC37" s="248"/>
      <c r="AD37" s="248"/>
      <c r="AE37" s="298"/>
      <c r="AF37" s="248"/>
      <c r="AG37" s="248"/>
      <c r="AH37" s="298"/>
      <c r="AI37" s="248"/>
      <c r="AJ37" s="298"/>
      <c r="AK37" s="248"/>
      <c r="AL37" s="248"/>
      <c r="AM37" s="298"/>
      <c r="AN37" s="248"/>
      <c r="AO37" s="298"/>
    </row>
    <row r="38" spans="1:41" ht="31.5">
      <c r="A38" s="182" t="s">
        <v>570</v>
      </c>
      <c r="B38" s="38" t="s">
        <v>571</v>
      </c>
      <c r="C38" s="182"/>
      <c r="D38" s="182" t="s">
        <v>572</v>
      </c>
      <c r="E38" s="303">
        <f>163.05+20</f>
        <v>183.05</v>
      </c>
      <c r="F38" s="303">
        <f>163.05+20</f>
        <v>183.05</v>
      </c>
      <c r="G38" s="304">
        <f>+F38/E38</f>
        <v>1</v>
      </c>
      <c r="H38" s="303">
        <v>98.84</v>
      </c>
      <c r="I38" s="303">
        <v>98.84</v>
      </c>
      <c r="J38" s="304">
        <f>+I38/H38</f>
        <v>1</v>
      </c>
      <c r="K38" s="305">
        <v>140.78</v>
      </c>
      <c r="L38" s="305">
        <v>140.78</v>
      </c>
      <c r="M38" s="304">
        <f>+L38/K38</f>
        <v>1</v>
      </c>
      <c r="N38" s="305">
        <v>94.59</v>
      </c>
      <c r="O38" s="305">
        <v>94.49</v>
      </c>
      <c r="P38" s="304">
        <f>+O38/N38</f>
        <v>0.9989428057934242</v>
      </c>
      <c r="Q38" s="305">
        <v>232.8</v>
      </c>
      <c r="R38" s="305">
        <v>232.8</v>
      </c>
      <c r="S38" s="304">
        <f>+R38/Q38</f>
        <v>1</v>
      </c>
      <c r="T38" s="305">
        <f>75000/1000</f>
        <v>75</v>
      </c>
      <c r="U38" s="305">
        <f>75000/1000</f>
        <v>75</v>
      </c>
      <c r="V38" s="304">
        <f>+U38/T38</f>
        <v>1</v>
      </c>
      <c r="W38" s="305">
        <f>(23640+29664+73217.76+5100+1000+62240.67)/1000</f>
        <v>194.86243</v>
      </c>
      <c r="X38" s="305">
        <f>(23640+29664+73217.76+5100+1000+62240.67)/1000</f>
        <v>194.86243</v>
      </c>
      <c r="Y38" s="307">
        <f>+X38/W38</f>
        <v>1</v>
      </c>
      <c r="Z38" s="308">
        <v>165.54</v>
      </c>
      <c r="AA38" s="308">
        <v>165.54</v>
      </c>
      <c r="AB38" s="309">
        <f>AA38/Z38</f>
        <v>1</v>
      </c>
      <c r="AC38" s="248">
        <f>236816/1000</f>
        <v>236.816</v>
      </c>
      <c r="AD38" s="248">
        <f>236816/1000</f>
        <v>236.816</v>
      </c>
      <c r="AE38" s="298">
        <f>AD38/AC38</f>
        <v>1</v>
      </c>
      <c r="AF38" s="248"/>
      <c r="AG38" s="248"/>
      <c r="AH38" s="298"/>
      <c r="AI38" s="248"/>
      <c r="AJ38" s="298"/>
      <c r="AK38" s="248"/>
      <c r="AL38" s="248"/>
      <c r="AM38" s="298"/>
      <c r="AN38" s="248"/>
      <c r="AO38" s="298"/>
    </row>
    <row r="39" spans="1:41" ht="47.25">
      <c r="A39" s="182" t="s">
        <v>573</v>
      </c>
      <c r="B39" s="38" t="s">
        <v>574</v>
      </c>
      <c r="C39" s="182"/>
      <c r="D39" s="182" t="s">
        <v>575</v>
      </c>
      <c r="E39" s="303">
        <v>0</v>
      </c>
      <c r="F39" s="303">
        <v>0</v>
      </c>
      <c r="G39" s="304"/>
      <c r="H39" s="303">
        <v>0</v>
      </c>
      <c r="I39" s="303">
        <v>0</v>
      </c>
      <c r="J39" s="304"/>
      <c r="K39" s="305">
        <v>0</v>
      </c>
      <c r="L39" s="305">
        <v>0</v>
      </c>
      <c r="M39" s="304"/>
      <c r="N39" s="305">
        <v>195</v>
      </c>
      <c r="O39" s="305">
        <v>195</v>
      </c>
      <c r="P39" s="304">
        <f>+O39/N39</f>
        <v>1</v>
      </c>
      <c r="Q39" s="305"/>
      <c r="R39" s="305"/>
      <c r="S39" s="304"/>
      <c r="T39" s="305"/>
      <c r="U39" s="305"/>
      <c r="V39" s="304"/>
      <c r="W39" s="305"/>
      <c r="X39" s="305"/>
      <c r="Y39" s="307"/>
      <c r="Z39" s="308"/>
      <c r="AA39" s="308"/>
      <c r="AB39" s="311"/>
      <c r="AC39" s="248">
        <f>85000/1000</f>
        <v>85</v>
      </c>
      <c r="AD39" s="248">
        <f>84999.99/1000</f>
        <v>84.99999000000001</v>
      </c>
      <c r="AE39" s="298">
        <f>AD39/AC39</f>
        <v>0.9999998823529413</v>
      </c>
      <c r="AF39" s="248"/>
      <c r="AG39" s="248"/>
      <c r="AH39" s="298"/>
      <c r="AI39" s="248"/>
      <c r="AJ39" s="298"/>
      <c r="AK39" s="248"/>
      <c r="AL39" s="248"/>
      <c r="AM39" s="298"/>
      <c r="AN39" s="248"/>
      <c r="AO39" s="298"/>
    </row>
    <row r="40" spans="1:41" ht="31.5">
      <c r="A40" s="182" t="s">
        <v>576</v>
      </c>
      <c r="B40" s="38" t="s">
        <v>577</v>
      </c>
      <c r="C40" s="182"/>
      <c r="D40" s="182" t="s">
        <v>578</v>
      </c>
      <c r="E40" s="303">
        <v>1159.38</v>
      </c>
      <c r="F40" s="303">
        <v>825.36</v>
      </c>
      <c r="G40" s="304">
        <f>+F40/E40</f>
        <v>0.7118977384464109</v>
      </c>
      <c r="H40" s="303">
        <f>47+759.65-98.84</f>
        <v>707.81</v>
      </c>
      <c r="I40" s="303">
        <f>46.99+729.68-98.84</f>
        <v>677.8299999999999</v>
      </c>
      <c r="J40" s="304">
        <f>+I40/H40</f>
        <v>0.9576440005086111</v>
      </c>
      <c r="K40" s="305">
        <v>734.9</v>
      </c>
      <c r="L40" s="305">
        <v>685.1</v>
      </c>
      <c r="M40" s="304">
        <f>+L40/K40</f>
        <v>0.9322356783235815</v>
      </c>
      <c r="N40" s="305">
        <v>777.78</v>
      </c>
      <c r="O40" s="305">
        <v>601.15</v>
      </c>
      <c r="P40" s="304">
        <f>+O40/N40</f>
        <v>0.7729049345573298</v>
      </c>
      <c r="Q40" s="305">
        <f>608.48</f>
        <v>608.48</v>
      </c>
      <c r="R40" s="305">
        <v>545.62</v>
      </c>
      <c r="S40" s="304">
        <f>R40/Q40</f>
        <v>0.8966933999474099</v>
      </c>
      <c r="T40" s="305">
        <f>(144187+606522.05)/1000</f>
        <v>750.70905</v>
      </c>
      <c r="U40" s="305">
        <f>(144187+526362.87)/1000</f>
        <v>670.5498699999999</v>
      </c>
      <c r="V40" s="304">
        <f>U40/T40</f>
        <v>0.893222041215568</v>
      </c>
      <c r="W40" s="305">
        <f>(78900+90000+193678.17+548813+102420.56+26800)/1000</f>
        <v>1040.61173</v>
      </c>
      <c r="X40" s="305">
        <f>(78900+75000+102408.84+479721.85+193678.17+25081.52)/1000</f>
        <v>954.79038</v>
      </c>
      <c r="Y40" s="307">
        <f>X40/W40</f>
        <v>0.9175279813538139</v>
      </c>
      <c r="Z40" s="308">
        <f>(12722.97+636056+265318.18+18750)/1000</f>
        <v>932.8471499999999</v>
      </c>
      <c r="AA40" s="308">
        <f>(265135.91+523277.36+12720+18750)/1000</f>
        <v>819.88327</v>
      </c>
      <c r="AB40" s="309">
        <f>AA40/Z40</f>
        <v>0.8789041913243772</v>
      </c>
      <c r="AC40" s="248">
        <f>853533/1000</f>
        <v>853.533</v>
      </c>
      <c r="AD40" s="248">
        <f>(835621.16)/1000</f>
        <v>835.62116</v>
      </c>
      <c r="AE40" s="298">
        <f>AD40/AC40</f>
        <v>0.9790144727854694</v>
      </c>
      <c r="AF40" s="248"/>
      <c r="AG40" s="248"/>
      <c r="AH40" s="298"/>
      <c r="AI40" s="248"/>
      <c r="AJ40" s="298"/>
      <c r="AK40" s="248"/>
      <c r="AL40" s="248"/>
      <c r="AM40" s="298"/>
      <c r="AN40" s="248"/>
      <c r="AO40" s="298"/>
    </row>
    <row r="41" spans="1:41" ht="15.75">
      <c r="A41" s="182"/>
      <c r="B41" s="38" t="s">
        <v>579</v>
      </c>
      <c r="C41" s="169">
        <v>227</v>
      </c>
      <c r="D41" s="182"/>
      <c r="E41" s="247"/>
      <c r="F41" s="247"/>
      <c r="G41" s="298"/>
      <c r="H41" s="247"/>
      <c r="I41" s="247"/>
      <c r="J41" s="298"/>
      <c r="K41" s="248"/>
      <c r="L41" s="248"/>
      <c r="M41" s="298"/>
      <c r="N41" s="248"/>
      <c r="O41" s="248"/>
      <c r="P41" s="298"/>
      <c r="Q41" s="248"/>
      <c r="R41" s="248"/>
      <c r="S41" s="298"/>
      <c r="T41" s="248"/>
      <c r="U41" s="248"/>
      <c r="V41" s="298"/>
      <c r="W41" s="248"/>
      <c r="X41" s="248"/>
      <c r="Y41" s="300"/>
      <c r="Z41" s="248"/>
      <c r="AA41" s="248"/>
      <c r="AB41" s="300"/>
      <c r="AC41" s="248"/>
      <c r="AD41" s="248"/>
      <c r="AE41" s="298"/>
      <c r="AF41" s="248">
        <v>4.8</v>
      </c>
      <c r="AG41" s="248">
        <v>0</v>
      </c>
      <c r="AH41" s="298">
        <f>AG41/AF41</f>
        <v>0</v>
      </c>
      <c r="AI41" s="248">
        <v>4.8</v>
      </c>
      <c r="AJ41" s="298">
        <f>+AI41/AF41</f>
        <v>1</v>
      </c>
      <c r="AK41" s="248">
        <f>4534.19/1000</f>
        <v>4.53419</v>
      </c>
      <c r="AL41" s="248">
        <v>0</v>
      </c>
      <c r="AM41" s="298">
        <f>AL41/AK41</f>
        <v>0</v>
      </c>
      <c r="AN41" s="248">
        <f>4534.19/1000</f>
        <v>4.53419</v>
      </c>
      <c r="AO41" s="298">
        <f>+AN41/AK41</f>
        <v>1</v>
      </c>
    </row>
    <row r="42" spans="1:41" ht="31.5">
      <c r="A42" s="182"/>
      <c r="B42" s="38" t="s">
        <v>580</v>
      </c>
      <c r="C42" s="169">
        <v>228</v>
      </c>
      <c r="D42" s="182"/>
      <c r="E42" s="247"/>
      <c r="F42" s="247"/>
      <c r="G42" s="298"/>
      <c r="H42" s="247"/>
      <c r="I42" s="247"/>
      <c r="J42" s="298"/>
      <c r="K42" s="248"/>
      <c r="L42" s="248"/>
      <c r="M42" s="298"/>
      <c r="N42" s="248"/>
      <c r="O42" s="248"/>
      <c r="P42" s="298"/>
      <c r="Q42" s="248"/>
      <c r="R42" s="248"/>
      <c r="S42" s="298"/>
      <c r="T42" s="248"/>
      <c r="U42" s="248"/>
      <c r="V42" s="298"/>
      <c r="W42" s="248"/>
      <c r="X42" s="248"/>
      <c r="Y42" s="300"/>
      <c r="Z42" s="248"/>
      <c r="AA42" s="248"/>
      <c r="AB42" s="300"/>
      <c r="AC42" s="248"/>
      <c r="AD42" s="248"/>
      <c r="AE42" s="298"/>
      <c r="AF42" s="248">
        <v>3.7</v>
      </c>
      <c r="AG42" s="248"/>
      <c r="AH42" s="298"/>
      <c r="AI42" s="248">
        <v>3.7</v>
      </c>
      <c r="AJ42" s="298">
        <f>+AI42/AF42</f>
        <v>1</v>
      </c>
      <c r="AK42" s="248"/>
      <c r="AL42" s="248"/>
      <c r="AM42" s="298"/>
      <c r="AN42" s="248"/>
      <c r="AO42" s="298"/>
    </row>
    <row r="43" spans="1:41" ht="31.5">
      <c r="A43" s="221" t="s">
        <v>581</v>
      </c>
      <c r="B43" s="289" t="s">
        <v>582</v>
      </c>
      <c r="C43" s="221">
        <v>260</v>
      </c>
      <c r="D43" s="221">
        <v>26000</v>
      </c>
      <c r="E43" s="310">
        <f>SUM(E44:E46)</f>
        <v>289119.58</v>
      </c>
      <c r="F43" s="310">
        <f>SUM(F44:F46)</f>
        <v>275608</v>
      </c>
      <c r="G43" s="291">
        <f>+F43/E43</f>
        <v>0.9532664650384453</v>
      </c>
      <c r="H43" s="310">
        <f>SUM(H44:H46)</f>
        <v>299571.29</v>
      </c>
      <c r="I43" s="310">
        <f>SUM(I44:I46)</f>
        <v>286439.63</v>
      </c>
      <c r="J43" s="291">
        <f>+I43/H43</f>
        <v>0.9561651585504072</v>
      </c>
      <c r="K43" s="310">
        <f>SUM(K44:K46)</f>
        <v>325759.92</v>
      </c>
      <c r="L43" s="310">
        <f>SUM(L44:L46)</f>
        <v>290827.76</v>
      </c>
      <c r="M43" s="291">
        <f>+L43/K43</f>
        <v>0.8927671642355512</v>
      </c>
      <c r="N43" s="310">
        <f>SUM(N44:N46)</f>
        <v>314803.82</v>
      </c>
      <c r="O43" s="310">
        <f>SUM(O44:O46)</f>
        <v>281583.00999999995</v>
      </c>
      <c r="P43" s="291">
        <f>+O43/N43</f>
        <v>0.8944713885619302</v>
      </c>
      <c r="Q43" s="310">
        <f>SUM(Q44:Q46)</f>
        <v>318451.42000000004</v>
      </c>
      <c r="R43" s="310">
        <f>SUM(R44:R46)</f>
        <v>312381.28</v>
      </c>
      <c r="S43" s="291">
        <f>+R43/Q43</f>
        <v>0.9809385682751862</v>
      </c>
      <c r="T43" s="310">
        <f>SUM(T44:T46)</f>
        <v>363221.58726</v>
      </c>
      <c r="U43" s="310">
        <f>SUM(U44:U46)</f>
        <v>355007.16735</v>
      </c>
      <c r="V43" s="291">
        <f>+U43/T43</f>
        <v>0.9773845492720674</v>
      </c>
      <c r="W43" s="310">
        <f>SUM(W44:W46)</f>
        <v>435796.11950000003</v>
      </c>
      <c r="X43" s="310">
        <f>SUM(X44:X46)</f>
        <v>426955.17208</v>
      </c>
      <c r="Y43" s="292">
        <f>+X43/W43</f>
        <v>0.9797131111902889</v>
      </c>
      <c r="Z43" s="290">
        <f>Z45+Z46</f>
        <v>450514.549</v>
      </c>
      <c r="AA43" s="290">
        <f>AA45+AA46</f>
        <v>441221.11185999995</v>
      </c>
      <c r="AB43" s="292">
        <f>AA43/Z43</f>
        <v>0.9793715049588775</v>
      </c>
      <c r="AC43" s="290">
        <f>AC44+AC45+AC46</f>
        <v>469722.09552</v>
      </c>
      <c r="AD43" s="290">
        <f>AD44+AD45+AD46</f>
        <v>453940.74927</v>
      </c>
      <c r="AE43" s="293">
        <f>AD43/AC43</f>
        <v>0.9664028019960835</v>
      </c>
      <c r="AF43" s="290">
        <f>AF44+AF45+AF46+AF47</f>
        <v>498506.90024000005</v>
      </c>
      <c r="AG43" s="290">
        <f>AG44+AG45+AG46+AG47</f>
        <v>246846.02094000002</v>
      </c>
      <c r="AH43" s="293">
        <f>AG43/AF43</f>
        <v>0.49517072044771904</v>
      </c>
      <c r="AI43" s="290">
        <f>AI44+AI45+AI46+AI47</f>
        <v>493532.95653</v>
      </c>
      <c r="AJ43" s="293">
        <f>+AI43/AF43</f>
        <v>0.990022317228497</v>
      </c>
      <c r="AK43" s="290">
        <f>AK44+AK45+AK46+AK47</f>
        <v>650526.6616700001</v>
      </c>
      <c r="AL43" s="290">
        <f>AL44+AL45+AL46+AL47</f>
        <v>246846.02094000002</v>
      </c>
      <c r="AM43" s="293">
        <f>AL43/AK43</f>
        <v>0.3794556556779841</v>
      </c>
      <c r="AN43" s="290">
        <f>AN44+AN45+AN46+AN47</f>
        <v>638062.1039599999</v>
      </c>
      <c r="AO43" s="293">
        <f>+AN43/AK43</f>
        <v>0.9808392823162669</v>
      </c>
    </row>
    <row r="44" spans="1:41" ht="47.25">
      <c r="A44" s="169" t="s">
        <v>583</v>
      </c>
      <c r="B44" s="57" t="s">
        <v>584</v>
      </c>
      <c r="C44" s="169">
        <v>261</v>
      </c>
      <c r="D44" s="169">
        <v>26100</v>
      </c>
      <c r="E44" s="303">
        <v>0</v>
      </c>
      <c r="F44" s="303">
        <v>0</v>
      </c>
      <c r="G44" s="304"/>
      <c r="H44" s="303">
        <v>0</v>
      </c>
      <c r="I44" s="303">
        <v>0</v>
      </c>
      <c r="J44" s="304"/>
      <c r="K44" s="305">
        <v>0</v>
      </c>
      <c r="L44" s="305">
        <v>0</v>
      </c>
      <c r="M44" s="304"/>
      <c r="N44" s="305">
        <v>0</v>
      </c>
      <c r="O44" s="305">
        <v>0</v>
      </c>
      <c r="P44" s="304"/>
      <c r="Q44" s="305"/>
      <c r="R44" s="305"/>
      <c r="S44" s="304"/>
      <c r="T44" s="305"/>
      <c r="U44" s="305"/>
      <c r="V44" s="304"/>
      <c r="W44" s="305"/>
      <c r="X44" s="305"/>
      <c r="Y44" s="307"/>
      <c r="Z44" s="308"/>
      <c r="AA44" s="308"/>
      <c r="AB44" s="311"/>
      <c r="AC44" s="248"/>
      <c r="AD44" s="248"/>
      <c r="AE44" s="298"/>
      <c r="AF44" s="248"/>
      <c r="AG44" s="248"/>
      <c r="AH44" s="298"/>
      <c r="AI44" s="248"/>
      <c r="AJ44" s="298"/>
      <c r="AK44" s="248"/>
      <c r="AL44" s="248"/>
      <c r="AM44" s="298"/>
      <c r="AN44" s="248"/>
      <c r="AO44" s="298"/>
    </row>
    <row r="45" spans="1:41" ht="31.5">
      <c r="A45" s="169" t="s">
        <v>585</v>
      </c>
      <c r="B45" s="57" t="s">
        <v>586</v>
      </c>
      <c r="C45" s="169">
        <v>262</v>
      </c>
      <c r="D45" s="169">
        <v>26200</v>
      </c>
      <c r="E45" s="303">
        <v>269606.78</v>
      </c>
      <c r="F45" s="303">
        <v>256162.72</v>
      </c>
      <c r="G45" s="304">
        <f>+F45/E45</f>
        <v>0.950134562639708</v>
      </c>
      <c r="H45" s="303">
        <v>280585.79</v>
      </c>
      <c r="I45" s="303">
        <v>269022.99</v>
      </c>
      <c r="J45" s="304">
        <f>+I45/H45</f>
        <v>0.9587905004027467</v>
      </c>
      <c r="K45" s="305">
        <v>308488.51</v>
      </c>
      <c r="L45" s="305">
        <v>274063.81</v>
      </c>
      <c r="M45" s="304">
        <f>+L45/K45</f>
        <v>0.888408485619124</v>
      </c>
      <c r="N45" s="305">
        <v>294541.61</v>
      </c>
      <c r="O45" s="305">
        <v>263387.91</v>
      </c>
      <c r="P45" s="304">
        <f>+O45/N45</f>
        <v>0.8942298848709355</v>
      </c>
      <c r="Q45" s="305">
        <v>300127.58</v>
      </c>
      <c r="R45" s="305">
        <v>294060.81</v>
      </c>
      <c r="S45" s="304">
        <f>+R45/Q45</f>
        <v>0.9797860296611194</v>
      </c>
      <c r="T45" s="305">
        <f>345449051.26/1000</f>
        <v>345449.05126</v>
      </c>
      <c r="U45" s="305">
        <f>337604427.22/1000</f>
        <v>337604.42722</v>
      </c>
      <c r="V45" s="304">
        <f>+U45/T45</f>
        <v>0.9772915166176104</v>
      </c>
      <c r="W45" s="305">
        <f>399323533.5/1000</f>
        <v>399323.5335</v>
      </c>
      <c r="X45" s="305">
        <f>390495661.18/1000</f>
        <v>390495.66118</v>
      </c>
      <c r="Y45" s="307">
        <f>+X45/W45</f>
        <v>0.9778929324735127</v>
      </c>
      <c r="Z45" s="308">
        <v>406339.04</v>
      </c>
      <c r="AA45" s="308">
        <f>398631118.4/1000</f>
        <v>398631.1184</v>
      </c>
      <c r="AB45" s="309">
        <f>AA45/Z45</f>
        <v>0.9810308121021303</v>
      </c>
      <c r="AC45" s="248">
        <f>(421689895.52/1000)+5</f>
        <v>421694.89551999996</v>
      </c>
      <c r="AD45" s="248">
        <f>(409424813.78/1000)+4.99</f>
        <v>409429.80377999996</v>
      </c>
      <c r="AE45" s="298">
        <f>AD45/AC45</f>
        <v>0.9709147730496579</v>
      </c>
      <c r="AF45" s="248">
        <f>+(388783635.19-369000)/1000</f>
        <v>388414.63519</v>
      </c>
      <c r="AG45" s="248">
        <f>(193332809.55/1000)</f>
        <v>193332.80955</v>
      </c>
      <c r="AH45" s="298">
        <f>AG45/AF45</f>
        <v>0.497748519325045</v>
      </c>
      <c r="AI45" s="248">
        <f>(385876171.56-369000)/1000</f>
        <v>385507.17156</v>
      </c>
      <c r="AJ45" s="298">
        <f>+AI45/AF45</f>
        <v>0.9925145363573188</v>
      </c>
      <c r="AK45" s="248">
        <f>534914621.35/1000</f>
        <v>534914.62135</v>
      </c>
      <c r="AL45" s="248">
        <f>(193332809.55/1000)</f>
        <v>193332.80955</v>
      </c>
      <c r="AM45" s="298">
        <f>AL45/AK45</f>
        <v>0.3614274163268766</v>
      </c>
      <c r="AN45" s="248">
        <f>524657764.21/1000</f>
        <v>524657.7642099999</v>
      </c>
      <c r="AO45" s="298">
        <f>+AN45/AK45</f>
        <v>0.9808252443836473</v>
      </c>
    </row>
    <row r="46" spans="1:41" ht="47.25">
      <c r="A46" s="169" t="s">
        <v>587</v>
      </c>
      <c r="B46" s="57" t="s">
        <v>588</v>
      </c>
      <c r="C46" s="169">
        <v>263</v>
      </c>
      <c r="D46" s="169" t="s">
        <v>589</v>
      </c>
      <c r="E46" s="303">
        <v>19512.8</v>
      </c>
      <c r="F46" s="303">
        <v>19445.28</v>
      </c>
      <c r="G46" s="304">
        <f>+F46/E46</f>
        <v>0.9965397072690746</v>
      </c>
      <c r="H46" s="303">
        <v>18985.5</v>
      </c>
      <c r="I46" s="303">
        <v>17416.64</v>
      </c>
      <c r="J46" s="304">
        <f>+I46/H46</f>
        <v>0.9173653577730373</v>
      </c>
      <c r="K46" s="305">
        <v>17271.41</v>
      </c>
      <c r="L46" s="305">
        <v>16763.95</v>
      </c>
      <c r="M46" s="304">
        <f>+L46/K46</f>
        <v>0.9706184961158354</v>
      </c>
      <c r="N46" s="305">
        <v>20262.21</v>
      </c>
      <c r="O46" s="305">
        <v>18195.1</v>
      </c>
      <c r="P46" s="304">
        <f>+O46/N46</f>
        <v>0.8979820068985565</v>
      </c>
      <c r="Q46" s="305">
        <v>18323.84</v>
      </c>
      <c r="R46" s="305">
        <v>18320.47</v>
      </c>
      <c r="S46" s="304">
        <f>+R46/Q46</f>
        <v>0.9998160865844714</v>
      </c>
      <c r="T46" s="305">
        <f>17772536/1000</f>
        <v>17772.536</v>
      </c>
      <c r="U46" s="305">
        <f>17402740.13/1000</f>
        <v>17402.74013</v>
      </c>
      <c r="V46" s="304">
        <f>+U46/T46</f>
        <v>0.9791928473235333</v>
      </c>
      <c r="W46" s="305">
        <f>36472586/1000</f>
        <v>36472.586</v>
      </c>
      <c r="X46" s="305">
        <f>36459510.9/1000</f>
        <v>36459.5109</v>
      </c>
      <c r="Y46" s="307">
        <f>+X46/W46</f>
        <v>0.9996415088307694</v>
      </c>
      <c r="Z46" s="308">
        <f>44175509/1000</f>
        <v>44175.509</v>
      </c>
      <c r="AA46" s="308">
        <f>42589993.46/1000</f>
        <v>42589.99346</v>
      </c>
      <c r="AB46" s="309">
        <f>AA46/Z46</f>
        <v>0.9641087205129883</v>
      </c>
      <c r="AC46" s="248">
        <f>48027200/1000</f>
        <v>48027.2</v>
      </c>
      <c r="AD46" s="248">
        <f>44510945.49/1000</f>
        <v>44510.945490000006</v>
      </c>
      <c r="AE46" s="298">
        <f>AD46/AC46</f>
        <v>0.9267861855365295</v>
      </c>
      <c r="AF46" s="248">
        <f>110030292.91/1000</f>
        <v>110030.29290999999</v>
      </c>
      <c r="AG46" s="248">
        <f>53475897.36/1000</f>
        <v>53475.89736</v>
      </c>
      <c r="AH46" s="298">
        <f>AG46/AF46</f>
        <v>0.48601067892949235</v>
      </c>
      <c r="AI46" s="248">
        <f>107964162.18/1000</f>
        <v>107964.16218000001</v>
      </c>
      <c r="AJ46" s="298">
        <f>+AI46/AF46</f>
        <v>0.9812221645934363</v>
      </c>
      <c r="AK46" s="248">
        <f>115546593.1/1000</f>
        <v>115546.5931</v>
      </c>
      <c r="AL46" s="248">
        <f>53475897.36/1000</f>
        <v>53475.89736</v>
      </c>
      <c r="AM46" s="298">
        <f>AL46/AK46</f>
        <v>0.46280808395379686</v>
      </c>
      <c r="AN46" s="248">
        <f>113340113.5/1000</f>
        <v>113340.1135</v>
      </c>
      <c r="AO46" s="298">
        <f>+AN46/AK46</f>
        <v>0.9809039839185013</v>
      </c>
    </row>
    <row r="47" spans="1:41" ht="31.5">
      <c r="A47" s="169"/>
      <c r="B47" s="57" t="s">
        <v>590</v>
      </c>
      <c r="C47" s="169">
        <v>266</v>
      </c>
      <c r="D47" s="169"/>
      <c r="E47" s="303"/>
      <c r="F47" s="303"/>
      <c r="G47" s="304"/>
      <c r="H47" s="303"/>
      <c r="I47" s="303"/>
      <c r="J47" s="304"/>
      <c r="K47" s="305"/>
      <c r="L47" s="305"/>
      <c r="M47" s="304"/>
      <c r="N47" s="305"/>
      <c r="O47" s="305"/>
      <c r="P47" s="304"/>
      <c r="Q47" s="305"/>
      <c r="R47" s="305"/>
      <c r="S47" s="304"/>
      <c r="T47" s="305"/>
      <c r="U47" s="305"/>
      <c r="V47" s="304"/>
      <c r="W47" s="305"/>
      <c r="X47" s="305"/>
      <c r="Y47" s="307"/>
      <c r="Z47" s="308"/>
      <c r="AA47" s="308"/>
      <c r="AB47" s="309"/>
      <c r="AC47" s="248"/>
      <c r="AD47" s="248"/>
      <c r="AE47" s="298"/>
      <c r="AF47" s="248">
        <f>(59272.14+2700)/1000</f>
        <v>61.972139999999996</v>
      </c>
      <c r="AG47" s="248">
        <f>(36054.03+1260)/1000</f>
        <v>37.314029999999995</v>
      </c>
      <c r="AH47" s="298">
        <f>AG47/AF47</f>
        <v>0.6021097544799969</v>
      </c>
      <c r="AI47" s="248">
        <f>(2350.65+59272.14)/1000</f>
        <v>61.62279</v>
      </c>
      <c r="AJ47" s="298">
        <f>+AI47/AF47</f>
        <v>0.9943627894728181</v>
      </c>
      <c r="AK47" s="248">
        <f>65447.22/1000</f>
        <v>65.44722</v>
      </c>
      <c r="AL47" s="248">
        <f>(36054.03+1260)/1000</f>
        <v>37.314029999999995</v>
      </c>
      <c r="AM47" s="298">
        <f>AL47/AK47</f>
        <v>0.5701392664195667</v>
      </c>
      <c r="AN47" s="312">
        <f>64226.25/1000</f>
        <v>64.22625</v>
      </c>
      <c r="AO47" s="298">
        <f>+AN47/AK47</f>
        <v>0.9813442037721387</v>
      </c>
    </row>
    <row r="48" spans="1:41" ht="15.75">
      <c r="A48" s="221" t="s">
        <v>591</v>
      </c>
      <c r="B48" s="289" t="s">
        <v>592</v>
      </c>
      <c r="C48" s="221">
        <v>290</v>
      </c>
      <c r="D48" s="221">
        <v>29000</v>
      </c>
      <c r="E48" s="310">
        <f>SUM(E49:E52)</f>
        <v>8.5</v>
      </c>
      <c r="F48" s="310">
        <f>SUM(F49:F52)</f>
        <v>8.31</v>
      </c>
      <c r="G48" s="291">
        <f>+F48/E48</f>
        <v>0.9776470588235294</v>
      </c>
      <c r="H48" s="310">
        <f>SUM(H49:H52)</f>
        <v>20.54</v>
      </c>
      <c r="I48" s="310">
        <f>SUM(I49:I52)</f>
        <v>19.91</v>
      </c>
      <c r="J48" s="291">
        <f>+I48/H48</f>
        <v>0.9693281402142162</v>
      </c>
      <c r="K48" s="310">
        <f>SUM(K49:K52)</f>
        <v>5.47</v>
      </c>
      <c r="L48" s="310">
        <f>SUM(L49:L52)</f>
        <v>4.29</v>
      </c>
      <c r="M48" s="291">
        <f>+L48/K48</f>
        <v>0.7842778793418648</v>
      </c>
      <c r="N48" s="310">
        <f>SUM(N49:N52)</f>
        <v>153.47</v>
      </c>
      <c r="O48" s="310">
        <f>SUM(O49:O52)</f>
        <v>153.47</v>
      </c>
      <c r="P48" s="291">
        <f>+O48/N48</f>
        <v>1</v>
      </c>
      <c r="Q48" s="310">
        <f>SUM(Q49:Q52)</f>
        <v>16.51</v>
      </c>
      <c r="R48" s="310">
        <f>SUM(R49:R52)</f>
        <v>14.2</v>
      </c>
      <c r="S48" s="291">
        <f>+R48/Q48</f>
        <v>0.8600847970926709</v>
      </c>
      <c r="T48" s="310">
        <f>SUM(T49:T52)</f>
        <v>22.21</v>
      </c>
      <c r="U48" s="310">
        <f>SUM(U49:U52)</f>
        <v>18.01</v>
      </c>
      <c r="V48" s="291">
        <f>+U48/T48</f>
        <v>0.8108959927960379</v>
      </c>
      <c r="W48" s="310">
        <f>SUM(W49:W52)</f>
        <v>8.345279999999999</v>
      </c>
      <c r="X48" s="310">
        <f>SUM(X49:X52)</f>
        <v>7.54528</v>
      </c>
      <c r="Y48" s="292">
        <f>+X48/W48</f>
        <v>0.9041374285823844</v>
      </c>
      <c r="Z48" s="290">
        <f>SUM(Z49:Z52)</f>
        <v>25.119459999999997</v>
      </c>
      <c r="AA48" s="290">
        <f>SUM(AA49:AA52)</f>
        <v>22.36961</v>
      </c>
      <c r="AB48" s="292">
        <f>AA48/Z48</f>
        <v>0.8905290957687787</v>
      </c>
      <c r="AC48" s="290">
        <f>SUM(AC49:AC52)</f>
        <v>87.92918</v>
      </c>
      <c r="AD48" s="290">
        <f>SUM(AD49:AD52)</f>
        <v>84.32043</v>
      </c>
      <c r="AE48" s="293">
        <f>AD48/AC48</f>
        <v>0.9589584481511143</v>
      </c>
      <c r="AF48" s="290">
        <f>SUM(AF49:AF52)</f>
        <v>103.544</v>
      </c>
      <c r="AG48" s="290">
        <f>SUM(AG49:AG52)</f>
        <v>50.851</v>
      </c>
      <c r="AH48" s="293">
        <f>AG48/AF48</f>
        <v>0.49110523062659356</v>
      </c>
      <c r="AI48" s="290">
        <f>SUM(AI49:AI52)</f>
        <v>95.578</v>
      </c>
      <c r="AJ48" s="293">
        <f>+AI48/AF48</f>
        <v>0.9230665224445647</v>
      </c>
      <c r="AK48" s="290">
        <f>SUM(AK49:AK52)</f>
        <v>100.299</v>
      </c>
      <c r="AL48" s="290">
        <f>SUM(AL49:AL52)</f>
        <v>50.851</v>
      </c>
      <c r="AM48" s="293">
        <f>AL48/AK48</f>
        <v>0.5069940876778432</v>
      </c>
      <c r="AN48" s="290">
        <f>SUM(AN49:AN52)</f>
        <v>97.59823</v>
      </c>
      <c r="AO48" s="293">
        <f>+AN48/AK48</f>
        <v>0.9730728122912491</v>
      </c>
    </row>
    <row r="49" spans="1:41" ht="63">
      <c r="A49" s="182" t="s">
        <v>593</v>
      </c>
      <c r="B49" s="38" t="s">
        <v>594</v>
      </c>
      <c r="C49" s="169">
        <v>291</v>
      </c>
      <c r="D49" s="182" t="s">
        <v>595</v>
      </c>
      <c r="E49" s="247">
        <v>8.5</v>
      </c>
      <c r="F49" s="247">
        <v>8.31</v>
      </c>
      <c r="G49" s="298">
        <f>+F49/E49</f>
        <v>0.9776470588235294</v>
      </c>
      <c r="H49" s="247">
        <v>20.54</v>
      </c>
      <c r="I49" s="247">
        <v>19.91</v>
      </c>
      <c r="J49" s="298">
        <f>+I49/H49</f>
        <v>0.9693281402142162</v>
      </c>
      <c r="K49" s="248">
        <v>5.47</v>
      </c>
      <c r="L49" s="248">
        <v>4.29</v>
      </c>
      <c r="M49" s="298">
        <f>+L49/K49</f>
        <v>0.7842778793418648</v>
      </c>
      <c r="N49" s="248">
        <v>3.47</v>
      </c>
      <c r="O49" s="248">
        <v>3.47</v>
      </c>
      <c r="P49" s="298">
        <f>+O49/N49</f>
        <v>1</v>
      </c>
      <c r="Q49" s="248">
        <v>16.51</v>
      </c>
      <c r="R49" s="248">
        <v>14.2</v>
      </c>
      <c r="S49" s="298">
        <f>+R49/Q49</f>
        <v>0.8600847970926709</v>
      </c>
      <c r="T49" s="248">
        <f>13210/1000</f>
        <v>13.21</v>
      </c>
      <c r="U49" s="248">
        <f>13210/1000</f>
        <v>13.21</v>
      </c>
      <c r="V49" s="298">
        <f>+U49/T49</f>
        <v>1</v>
      </c>
      <c r="W49" s="248">
        <f>5145.28/1000</f>
        <v>5.14528</v>
      </c>
      <c r="X49" s="248">
        <f>4345.28/1000</f>
        <v>4.34528</v>
      </c>
      <c r="Y49" s="300">
        <f>+X49/W49</f>
        <v>0.8445176938864357</v>
      </c>
      <c r="Z49" s="248">
        <f>13119.46/1000</f>
        <v>13.119459999999998</v>
      </c>
      <c r="AA49" s="248">
        <f>11589.61/1000</f>
        <v>11.58961</v>
      </c>
      <c r="AB49" s="300">
        <f>AA49/Z49</f>
        <v>0.8833907798034372</v>
      </c>
      <c r="AC49" s="248">
        <f>85623.94/1000</f>
        <v>85.62394</v>
      </c>
      <c r="AD49" s="248">
        <f>82741.02/1000</f>
        <v>82.74102</v>
      </c>
      <c r="AE49" s="298">
        <f>AD49/AC49</f>
        <v>0.9663304444995173</v>
      </c>
      <c r="AF49" s="248">
        <v>103.544</v>
      </c>
      <c r="AG49" s="248">
        <f>50851/1000</f>
        <v>50.851</v>
      </c>
      <c r="AH49" s="298">
        <f>AG49/AF49</f>
        <v>0.49110523062659356</v>
      </c>
      <c r="AI49" s="248">
        <f>(90342+5236)/1000</f>
        <v>95.578</v>
      </c>
      <c r="AJ49" s="298">
        <f>+AI49/AF49</f>
        <v>0.9230665224445647</v>
      </c>
      <c r="AK49" s="248">
        <f>100299/1000</f>
        <v>100.299</v>
      </c>
      <c r="AL49" s="248">
        <f>50851/1000</f>
        <v>50.851</v>
      </c>
      <c r="AM49" s="298">
        <f>AL49/AK49</f>
        <v>0.5069940876778432</v>
      </c>
      <c r="AN49" s="248">
        <f>97598.23/1000</f>
        <v>97.59823</v>
      </c>
      <c r="AO49" s="298">
        <f>+AN49/AK49</f>
        <v>0.9730728122912491</v>
      </c>
    </row>
    <row r="50" spans="1:41" ht="15.75">
      <c r="A50" s="182" t="s">
        <v>596</v>
      </c>
      <c r="B50" s="38" t="s">
        <v>597</v>
      </c>
      <c r="C50" s="182"/>
      <c r="D50" s="182" t="s">
        <v>598</v>
      </c>
      <c r="E50" s="303">
        <v>0</v>
      </c>
      <c r="F50" s="303">
        <v>0</v>
      </c>
      <c r="G50" s="304"/>
      <c r="H50" s="303">
        <v>0</v>
      </c>
      <c r="I50" s="303">
        <v>0</v>
      </c>
      <c r="J50" s="304"/>
      <c r="K50" s="305">
        <v>0</v>
      </c>
      <c r="L50" s="305">
        <v>0</v>
      </c>
      <c r="M50" s="304"/>
      <c r="N50" s="305">
        <v>0</v>
      </c>
      <c r="O50" s="305">
        <v>0</v>
      </c>
      <c r="P50" s="304"/>
      <c r="Q50" s="305"/>
      <c r="R50" s="305"/>
      <c r="S50" s="304"/>
      <c r="T50" s="305"/>
      <c r="U50" s="305"/>
      <c r="V50" s="304"/>
      <c r="W50" s="305"/>
      <c r="X50" s="305"/>
      <c r="Y50" s="307"/>
      <c r="Z50" s="308"/>
      <c r="AA50" s="308"/>
      <c r="AB50" s="311"/>
      <c r="AC50" s="248"/>
      <c r="AD50" s="248"/>
      <c r="AE50" s="298"/>
      <c r="AF50" s="248"/>
      <c r="AG50" s="248"/>
      <c r="AH50" s="298"/>
      <c r="AI50" s="248"/>
      <c r="AJ50" s="298"/>
      <c r="AK50" s="248"/>
      <c r="AL50" s="248"/>
      <c r="AM50" s="298"/>
      <c r="AN50" s="248"/>
      <c r="AO50" s="298"/>
    </row>
    <row r="51" spans="1:41" ht="78.75">
      <c r="A51" s="182" t="s">
        <v>599</v>
      </c>
      <c r="B51" s="38" t="s">
        <v>600</v>
      </c>
      <c r="C51" s="182"/>
      <c r="D51" s="182" t="s">
        <v>601</v>
      </c>
      <c r="E51" s="303">
        <v>0</v>
      </c>
      <c r="F51" s="303">
        <v>0</v>
      </c>
      <c r="G51" s="304"/>
      <c r="H51" s="303">
        <v>0</v>
      </c>
      <c r="I51" s="303">
        <v>0</v>
      </c>
      <c r="J51" s="304"/>
      <c r="K51" s="305">
        <v>0</v>
      </c>
      <c r="L51" s="305">
        <v>0</v>
      </c>
      <c r="M51" s="304"/>
      <c r="N51" s="305">
        <v>0</v>
      </c>
      <c r="O51" s="305">
        <v>0</v>
      </c>
      <c r="P51" s="304"/>
      <c r="Q51" s="305"/>
      <c r="R51" s="305"/>
      <c r="S51" s="304"/>
      <c r="T51" s="305"/>
      <c r="U51" s="305"/>
      <c r="V51" s="304"/>
      <c r="W51" s="305"/>
      <c r="X51" s="305"/>
      <c r="Y51" s="307"/>
      <c r="Z51" s="308"/>
      <c r="AA51" s="308"/>
      <c r="AB51" s="311"/>
      <c r="AC51" s="248"/>
      <c r="AD51" s="248"/>
      <c r="AE51" s="298"/>
      <c r="AF51" s="248"/>
      <c r="AG51" s="248"/>
      <c r="AH51" s="298"/>
      <c r="AI51" s="248"/>
      <c r="AJ51" s="298"/>
      <c r="AK51" s="248"/>
      <c r="AL51" s="248"/>
      <c r="AM51" s="298"/>
      <c r="AN51" s="248"/>
      <c r="AO51" s="298"/>
    </row>
    <row r="52" spans="1:41" ht="15.75">
      <c r="A52" s="182" t="s">
        <v>602</v>
      </c>
      <c r="B52" s="38" t="s">
        <v>603</v>
      </c>
      <c r="C52" s="182">
        <v>296</v>
      </c>
      <c r="D52" s="182" t="s">
        <v>604</v>
      </c>
      <c r="E52" s="247">
        <v>0</v>
      </c>
      <c r="F52" s="247">
        <v>0</v>
      </c>
      <c r="G52" s="298"/>
      <c r="H52" s="247">
        <v>0</v>
      </c>
      <c r="I52" s="247">
        <v>0</v>
      </c>
      <c r="J52" s="298"/>
      <c r="K52" s="248">
        <v>0</v>
      </c>
      <c r="L52" s="248">
        <v>0</v>
      </c>
      <c r="M52" s="298"/>
      <c r="N52" s="248">
        <v>150</v>
      </c>
      <c r="O52" s="248">
        <v>150</v>
      </c>
      <c r="P52" s="298">
        <f>+O52/N52</f>
        <v>1</v>
      </c>
      <c r="Q52" s="248"/>
      <c r="R52" s="248"/>
      <c r="S52" s="298"/>
      <c r="T52" s="248">
        <v>9</v>
      </c>
      <c r="U52" s="248">
        <f>4800/1000</f>
        <v>4.8</v>
      </c>
      <c r="V52" s="298">
        <f>+U52/T52</f>
        <v>0.5333333333333333</v>
      </c>
      <c r="W52" s="248">
        <v>3.2</v>
      </c>
      <c r="X52" s="248">
        <f>3200/1000</f>
        <v>3.2</v>
      </c>
      <c r="Y52" s="300">
        <f>+X52/W52</f>
        <v>1</v>
      </c>
      <c r="Z52" s="248">
        <f>12000/1000</f>
        <v>12</v>
      </c>
      <c r="AA52" s="248">
        <f>10780/1000</f>
        <v>10.78</v>
      </c>
      <c r="AB52" s="300">
        <f>AA52/Z52</f>
        <v>0.8983333333333333</v>
      </c>
      <c r="AC52" s="248">
        <f>2305.24/1000</f>
        <v>2.30524</v>
      </c>
      <c r="AD52" s="248">
        <f>1579.41/1000</f>
        <v>1.57941</v>
      </c>
      <c r="AE52" s="298">
        <f>AD52/AC52</f>
        <v>0.6851390744564557</v>
      </c>
      <c r="AF52" s="302"/>
      <c r="AG52" s="302"/>
      <c r="AH52" s="298"/>
      <c r="AI52" s="302"/>
      <c r="AJ52" s="298"/>
      <c r="AK52" s="248"/>
      <c r="AL52" s="248"/>
      <c r="AM52" s="298"/>
      <c r="AN52" s="248"/>
      <c r="AO52" s="298"/>
    </row>
    <row r="53" spans="1:41" ht="31.5">
      <c r="A53" s="283" t="s">
        <v>6</v>
      </c>
      <c r="B53" s="284" t="s">
        <v>605</v>
      </c>
      <c r="C53" s="283">
        <v>300</v>
      </c>
      <c r="D53" s="283">
        <v>30000</v>
      </c>
      <c r="E53" s="285">
        <f>+E54+E61+E62</f>
        <v>302.59000000000003</v>
      </c>
      <c r="F53" s="285">
        <f>+F54+F61+F62</f>
        <v>289.4</v>
      </c>
      <c r="G53" s="286">
        <f>+F53/E53</f>
        <v>0.9564096632406885</v>
      </c>
      <c r="H53" s="285">
        <f>+H54+H61+H62</f>
        <v>739</v>
      </c>
      <c r="I53" s="285">
        <f>+I54+I61+I62</f>
        <v>709.4200000000001</v>
      </c>
      <c r="J53" s="286">
        <f>+I53/H53</f>
        <v>0.9599729364005414</v>
      </c>
      <c r="K53" s="285">
        <f>+K54+K61+K62</f>
        <v>586.04</v>
      </c>
      <c r="L53" s="285">
        <f>+L54+L61+L62</f>
        <v>578.02</v>
      </c>
      <c r="M53" s="286">
        <f>+L53/K53</f>
        <v>0.9863149273087162</v>
      </c>
      <c r="N53" s="285">
        <f>+N54+N61+N62</f>
        <v>493.8</v>
      </c>
      <c r="O53" s="285">
        <f>+O54+O61+O62</f>
        <v>493.8</v>
      </c>
      <c r="P53" s="286">
        <f>+O53/N53</f>
        <v>1</v>
      </c>
      <c r="Q53" s="285">
        <f>+Q54+Q61+Q62</f>
        <v>725.3499999999999</v>
      </c>
      <c r="R53" s="285">
        <f>+R54+R61+R62</f>
        <v>721.04</v>
      </c>
      <c r="S53" s="286">
        <f>+R53/Q53</f>
        <v>0.9940580409457505</v>
      </c>
      <c r="T53" s="285">
        <f>+T54+T61+T62</f>
        <v>792.36461</v>
      </c>
      <c r="U53" s="285">
        <f>+U54+U61+U62</f>
        <v>792.36461</v>
      </c>
      <c r="V53" s="286">
        <f>+U53/T53</f>
        <v>1</v>
      </c>
      <c r="W53" s="285">
        <f>+W54+W61+W62</f>
        <v>1016.2521099999999</v>
      </c>
      <c r="X53" s="285">
        <f>+X54+X61+X62</f>
        <v>1016.1192000000001</v>
      </c>
      <c r="Y53" s="287">
        <f>+X53/W53</f>
        <v>0.9998692155236953</v>
      </c>
      <c r="Z53" s="285">
        <f>+Z54+Z61+Z62</f>
        <v>1291.24937</v>
      </c>
      <c r="AA53" s="285">
        <f>+AA54+AA61+AA62</f>
        <v>1168.7728299999999</v>
      </c>
      <c r="AB53" s="287">
        <f>AA53/Z53</f>
        <v>0.9051488094820909</v>
      </c>
      <c r="AC53" s="285">
        <f>AC54+AC61+AC62</f>
        <v>1791.3193099999999</v>
      </c>
      <c r="AD53" s="285">
        <f>AD54+AD61+AD62</f>
        <v>1791.25182</v>
      </c>
      <c r="AE53" s="288">
        <f>AD53/AC53</f>
        <v>0.9999623238583858</v>
      </c>
      <c r="AF53" s="285">
        <f>AF54+AF61+AF62</f>
        <v>718.06565</v>
      </c>
      <c r="AG53" s="285">
        <f>AG54+AG61+AG62</f>
        <v>320.68205</v>
      </c>
      <c r="AH53" s="288">
        <f>AG53/AF53</f>
        <v>0.44659154772269083</v>
      </c>
      <c r="AI53" s="285">
        <f>AI54+AI61+AI62</f>
        <v>709.80922</v>
      </c>
      <c r="AJ53" s="288">
        <f>+AI53/AF53</f>
        <v>0.9885018452003657</v>
      </c>
      <c r="AK53" s="285">
        <f>AK54+AK61+AK62</f>
        <v>963.19912</v>
      </c>
      <c r="AL53" s="285">
        <f>AL54+AL61+AL62</f>
        <v>320.68205</v>
      </c>
      <c r="AM53" s="288">
        <f>AL53/AK53</f>
        <v>0.3329343261858462</v>
      </c>
      <c r="AN53" s="285">
        <f>AN54+AN61+AN62</f>
        <v>963.19911</v>
      </c>
      <c r="AO53" s="288">
        <f>+AN53/AK53</f>
        <v>0.9999999896179308</v>
      </c>
    </row>
    <row r="54" spans="1:41" ht="31.5">
      <c r="A54" s="221" t="s">
        <v>606</v>
      </c>
      <c r="B54" s="289" t="s">
        <v>607</v>
      </c>
      <c r="C54" s="221">
        <v>310</v>
      </c>
      <c r="D54" s="221">
        <v>31000</v>
      </c>
      <c r="E54" s="310">
        <f>SUM(E55:E60)</f>
        <v>50</v>
      </c>
      <c r="F54" s="310">
        <f>SUM(F55:F60)</f>
        <v>50</v>
      </c>
      <c r="G54" s="291">
        <f>+F54/E54</f>
        <v>1</v>
      </c>
      <c r="H54" s="310">
        <f>SUM(H55:H60)</f>
        <v>400</v>
      </c>
      <c r="I54" s="310">
        <f>SUM(I55:I60)</f>
        <v>370.42</v>
      </c>
      <c r="J54" s="291">
        <f>+I54/H54</f>
        <v>0.92605</v>
      </c>
      <c r="K54" s="310">
        <f>SUM(K55:K60)</f>
        <v>95.1</v>
      </c>
      <c r="L54" s="310">
        <f>SUM(L55:L60)</f>
        <v>95.1</v>
      </c>
      <c r="M54" s="291">
        <f>+L54/K54</f>
        <v>1</v>
      </c>
      <c r="N54" s="310">
        <f>SUM(N55:N60)</f>
        <v>0</v>
      </c>
      <c r="O54" s="310">
        <f>SUM(O55:O60)</f>
        <v>0</v>
      </c>
      <c r="P54" s="291"/>
      <c r="Q54" s="310">
        <f>SUM(Q55:Q60)</f>
        <v>210.82</v>
      </c>
      <c r="R54" s="310">
        <f>SUM(R55:R60)</f>
        <v>210.62</v>
      </c>
      <c r="S54" s="291"/>
      <c r="T54" s="310">
        <f>SUM(T55:T60)</f>
        <v>232.72400000000002</v>
      </c>
      <c r="U54" s="310">
        <f>SUM(U55:U60)</f>
        <v>232.72400000000002</v>
      </c>
      <c r="V54" s="291"/>
      <c r="W54" s="310">
        <f>SUM(W55:W60)</f>
        <v>533.1644799999999</v>
      </c>
      <c r="X54" s="310">
        <f>SUM(X55:X60)</f>
        <v>533.05448</v>
      </c>
      <c r="Y54" s="292"/>
      <c r="Z54" s="290">
        <f>SUM(Z55:Z60)</f>
        <v>775.1397</v>
      </c>
      <c r="AA54" s="290">
        <f>SUM(AA55:AA60)</f>
        <v>652.6631600000001</v>
      </c>
      <c r="AB54" s="292">
        <f>AA54/Z54</f>
        <v>0.8419942366517934</v>
      </c>
      <c r="AC54" s="290">
        <f>SUM(AC55:AC60)</f>
        <v>1142.7091899999998</v>
      </c>
      <c r="AD54" s="290">
        <f>SUM(AD55:AD60)</f>
        <v>1142.7091899999998</v>
      </c>
      <c r="AE54" s="293">
        <f>AD54/AC54</f>
        <v>1</v>
      </c>
      <c r="AF54" s="290">
        <v>253.644</v>
      </c>
      <c r="AG54" s="290">
        <f>72772/1000</f>
        <v>72.772</v>
      </c>
      <c r="AH54" s="293">
        <f>AG54/AF54</f>
        <v>0.28690605730866886</v>
      </c>
      <c r="AI54" s="290">
        <f>253643.63/1000</f>
        <v>253.64363</v>
      </c>
      <c r="AJ54" s="293">
        <f>+AI54/AF54</f>
        <v>0.9999985412625569</v>
      </c>
      <c r="AK54" s="290">
        <f>327332.83/1000</f>
        <v>327.33283</v>
      </c>
      <c r="AL54" s="290">
        <f>72772/1000</f>
        <v>72.772</v>
      </c>
      <c r="AM54" s="293">
        <f>AL54/AK54</f>
        <v>0.22231806079457414</v>
      </c>
      <c r="AN54" s="290">
        <f>327332.83/1000</f>
        <v>327.33283</v>
      </c>
      <c r="AO54" s="293">
        <f>+AN54/AK54</f>
        <v>1</v>
      </c>
    </row>
    <row r="55" spans="1:41" ht="31.5">
      <c r="A55" s="182" t="s">
        <v>608</v>
      </c>
      <c r="B55" s="38" t="s">
        <v>609</v>
      </c>
      <c r="C55" s="182"/>
      <c r="D55" s="182" t="s">
        <v>610</v>
      </c>
      <c r="E55" s="303">
        <v>0</v>
      </c>
      <c r="F55" s="303">
        <v>0</v>
      </c>
      <c r="G55" s="304"/>
      <c r="H55" s="303">
        <v>0</v>
      </c>
      <c r="I55" s="303">
        <v>0</v>
      </c>
      <c r="J55" s="304"/>
      <c r="K55" s="305">
        <v>0</v>
      </c>
      <c r="L55" s="305">
        <v>0</v>
      </c>
      <c r="M55" s="304"/>
      <c r="N55" s="305">
        <v>0</v>
      </c>
      <c r="O55" s="305">
        <v>0</v>
      </c>
      <c r="P55" s="304"/>
      <c r="Q55" s="305">
        <v>0</v>
      </c>
      <c r="R55" s="305">
        <v>0</v>
      </c>
      <c r="S55" s="304"/>
      <c r="T55" s="305">
        <v>0</v>
      </c>
      <c r="U55" s="305">
        <v>0</v>
      </c>
      <c r="V55" s="304"/>
      <c r="W55" s="305">
        <v>0</v>
      </c>
      <c r="X55" s="305">
        <v>0</v>
      </c>
      <c r="Y55" s="307"/>
      <c r="Z55" s="308"/>
      <c r="AA55" s="308"/>
      <c r="AB55" s="311"/>
      <c r="AC55" s="248">
        <f>650000/1000</f>
        <v>650</v>
      </c>
      <c r="AD55" s="248">
        <f>650000/1000</f>
        <v>650</v>
      </c>
      <c r="AE55" s="298">
        <f>AD55/AC55</f>
        <v>1</v>
      </c>
      <c r="AF55" s="248"/>
      <c r="AG55" s="248"/>
      <c r="AH55" s="298"/>
      <c r="AI55" s="248"/>
      <c r="AJ55" s="298"/>
      <c r="AK55" s="248"/>
      <c r="AL55" s="248"/>
      <c r="AM55" s="298"/>
      <c r="AN55" s="248"/>
      <c r="AO55" s="298"/>
    </row>
    <row r="56" spans="1:41" ht="15.75">
      <c r="A56" s="182" t="s">
        <v>611</v>
      </c>
      <c r="B56" s="38" t="s">
        <v>612</v>
      </c>
      <c r="C56" s="182"/>
      <c r="D56" s="182" t="s">
        <v>613</v>
      </c>
      <c r="E56" s="303">
        <v>0</v>
      </c>
      <c r="F56" s="303">
        <v>0</v>
      </c>
      <c r="G56" s="304"/>
      <c r="H56" s="303">
        <v>0</v>
      </c>
      <c r="I56" s="303">
        <v>0</v>
      </c>
      <c r="J56" s="304"/>
      <c r="K56" s="305">
        <v>0</v>
      </c>
      <c r="L56" s="305">
        <v>0</v>
      </c>
      <c r="M56" s="304"/>
      <c r="N56" s="305">
        <v>0</v>
      </c>
      <c r="O56" s="305">
        <v>0</v>
      </c>
      <c r="P56" s="304"/>
      <c r="Q56" s="305">
        <v>0</v>
      </c>
      <c r="R56" s="305">
        <v>0</v>
      </c>
      <c r="S56" s="304"/>
      <c r="T56" s="305">
        <v>0</v>
      </c>
      <c r="U56" s="305">
        <v>0</v>
      </c>
      <c r="V56" s="304"/>
      <c r="W56" s="305">
        <v>0</v>
      </c>
      <c r="X56" s="305">
        <v>0</v>
      </c>
      <c r="Y56" s="307"/>
      <c r="Z56" s="308">
        <f>5500/1000</f>
        <v>5.5</v>
      </c>
      <c r="AA56" s="308">
        <f>5500/1000</f>
        <v>5.5</v>
      </c>
      <c r="AB56" s="309">
        <f>AA56/Z56</f>
        <v>1</v>
      </c>
      <c r="AC56" s="248"/>
      <c r="AD56" s="248"/>
      <c r="AE56" s="298"/>
      <c r="AF56" s="248"/>
      <c r="AG56" s="248"/>
      <c r="AH56" s="298"/>
      <c r="AI56" s="248"/>
      <c r="AJ56" s="298"/>
      <c r="AK56" s="248"/>
      <c r="AL56" s="248"/>
      <c r="AM56" s="298"/>
      <c r="AN56" s="248"/>
      <c r="AO56" s="298"/>
    </row>
    <row r="57" spans="1:41" ht="31.5">
      <c r="A57" s="182" t="s">
        <v>614</v>
      </c>
      <c r="B57" s="38" t="s">
        <v>615</v>
      </c>
      <c r="C57" s="182"/>
      <c r="D57" s="182" t="s">
        <v>616</v>
      </c>
      <c r="E57" s="303">
        <v>0</v>
      </c>
      <c r="F57" s="303">
        <v>0</v>
      </c>
      <c r="G57" s="304"/>
      <c r="H57" s="303">
        <v>0</v>
      </c>
      <c r="I57" s="303">
        <v>0</v>
      </c>
      <c r="J57" s="304"/>
      <c r="K57" s="305">
        <v>0</v>
      </c>
      <c r="L57" s="305">
        <v>0</v>
      </c>
      <c r="M57" s="304"/>
      <c r="N57" s="305">
        <v>0</v>
      </c>
      <c r="O57" s="305">
        <v>0</v>
      </c>
      <c r="P57" s="304"/>
      <c r="Q57" s="305">
        <v>0</v>
      </c>
      <c r="R57" s="305">
        <v>0</v>
      </c>
      <c r="S57" s="304"/>
      <c r="T57" s="305">
        <v>0</v>
      </c>
      <c r="U57" s="305">
        <v>0</v>
      </c>
      <c r="V57" s="304"/>
      <c r="W57" s="305">
        <v>0</v>
      </c>
      <c r="X57" s="305">
        <v>0</v>
      </c>
      <c r="Y57" s="307"/>
      <c r="Z57" s="308"/>
      <c r="AA57" s="308"/>
      <c r="AB57" s="311"/>
      <c r="AC57" s="248"/>
      <c r="AD57" s="248"/>
      <c r="AE57" s="298"/>
      <c r="AF57" s="248"/>
      <c r="AG57" s="248"/>
      <c r="AH57" s="298"/>
      <c r="AI57" s="248"/>
      <c r="AJ57" s="298"/>
      <c r="AK57" s="248"/>
      <c r="AL57" s="248"/>
      <c r="AM57" s="298"/>
      <c r="AN57" s="248"/>
      <c r="AO57" s="298"/>
    </row>
    <row r="58" spans="1:41" ht="15.75">
      <c r="A58" s="182" t="s">
        <v>617</v>
      </c>
      <c r="B58" s="38" t="s">
        <v>618</v>
      </c>
      <c r="C58" s="182"/>
      <c r="D58" s="182" t="s">
        <v>619</v>
      </c>
      <c r="E58" s="303">
        <v>50</v>
      </c>
      <c r="F58" s="303">
        <v>50</v>
      </c>
      <c r="G58" s="304">
        <f>+F58/E58</f>
        <v>1</v>
      </c>
      <c r="H58" s="303">
        <v>400</v>
      </c>
      <c r="I58" s="303">
        <v>370.42</v>
      </c>
      <c r="J58" s="304">
        <f>+I58/H58</f>
        <v>0.92605</v>
      </c>
      <c r="K58" s="305">
        <v>0</v>
      </c>
      <c r="L58" s="305">
        <v>0</v>
      </c>
      <c r="M58" s="304"/>
      <c r="N58" s="305">
        <v>0</v>
      </c>
      <c r="O58" s="305">
        <v>0</v>
      </c>
      <c r="P58" s="304"/>
      <c r="Q58" s="305">
        <v>111.82</v>
      </c>
      <c r="R58" s="305">
        <v>111.82</v>
      </c>
      <c r="S58" s="304">
        <f>+R58/Q58</f>
        <v>1</v>
      </c>
      <c r="T58" s="305">
        <f>230924/1000</f>
        <v>230.924</v>
      </c>
      <c r="U58" s="305">
        <f>230924/1000</f>
        <v>230.924</v>
      </c>
      <c r="V58" s="304">
        <f>+U58/T58</f>
        <v>1</v>
      </c>
      <c r="W58" s="305">
        <f>(442164.48+17500)/1000</f>
        <v>459.66447999999997</v>
      </c>
      <c r="X58" s="305">
        <f>(17500+442164.48)/1000</f>
        <v>459.66447999999997</v>
      </c>
      <c r="Y58" s="307">
        <f>+X58/W58</f>
        <v>1</v>
      </c>
      <c r="Z58" s="308">
        <f>(238709.9+320929.8)/1000</f>
        <v>559.6397</v>
      </c>
      <c r="AA58" s="308">
        <f>(238709.9+232945.26)/1000</f>
        <v>471.65516</v>
      </c>
      <c r="AB58" s="309">
        <f>AA58/Z58</f>
        <v>0.8427835980899855</v>
      </c>
      <c r="AC58" s="248">
        <f>196800/1000</f>
        <v>196.8</v>
      </c>
      <c r="AD58" s="248">
        <f>196800/1000</f>
        <v>196.8</v>
      </c>
      <c r="AE58" s="298">
        <f>AD58/AC58</f>
        <v>1</v>
      </c>
      <c r="AF58" s="248"/>
      <c r="AG58" s="248"/>
      <c r="AH58" s="298"/>
      <c r="AI58" s="248"/>
      <c r="AJ58" s="298"/>
      <c r="AK58" s="248"/>
      <c r="AL58" s="248"/>
      <c r="AM58" s="298"/>
      <c r="AN58" s="248"/>
      <c r="AO58" s="298"/>
    </row>
    <row r="59" spans="1:41" ht="15.75">
      <c r="A59" s="182" t="s">
        <v>620</v>
      </c>
      <c r="B59" s="38" t="s">
        <v>621</v>
      </c>
      <c r="C59" s="182"/>
      <c r="D59" s="182" t="s">
        <v>622</v>
      </c>
      <c r="E59" s="303">
        <v>0</v>
      </c>
      <c r="F59" s="303">
        <v>0</v>
      </c>
      <c r="G59" s="304"/>
      <c r="H59" s="303">
        <v>0</v>
      </c>
      <c r="I59" s="303">
        <v>0</v>
      </c>
      <c r="J59" s="304"/>
      <c r="K59" s="305">
        <v>95.1</v>
      </c>
      <c r="L59" s="305">
        <v>95.1</v>
      </c>
      <c r="M59" s="304">
        <f>+L59/K59</f>
        <v>1</v>
      </c>
      <c r="N59" s="305">
        <v>0</v>
      </c>
      <c r="O59" s="305">
        <v>0</v>
      </c>
      <c r="P59" s="304"/>
      <c r="Q59" s="305">
        <v>99</v>
      </c>
      <c r="R59" s="305">
        <v>98.8</v>
      </c>
      <c r="S59" s="304">
        <f>+R59/Q59</f>
        <v>0.997979797979798</v>
      </c>
      <c r="T59" s="305">
        <v>0</v>
      </c>
      <c r="U59" s="305">
        <v>0</v>
      </c>
      <c r="V59" s="304"/>
      <c r="W59" s="305">
        <f>(50000+17750)/1000</f>
        <v>67.75</v>
      </c>
      <c r="X59" s="305">
        <f>(49890+17750)/1000</f>
        <v>67.64</v>
      </c>
      <c r="Y59" s="307">
        <f>+X59/W59</f>
        <v>0.9983763837638376</v>
      </c>
      <c r="Z59" s="308">
        <v>0</v>
      </c>
      <c r="AA59" s="308">
        <v>0</v>
      </c>
      <c r="AB59" s="311"/>
      <c r="AC59" s="248">
        <f>251359.19/1000</f>
        <v>251.35919</v>
      </c>
      <c r="AD59" s="248">
        <f>251359.19/1000</f>
        <v>251.35919</v>
      </c>
      <c r="AE59" s="298">
        <f>AD59/AC59</f>
        <v>1</v>
      </c>
      <c r="AF59" s="248"/>
      <c r="AG59" s="248"/>
      <c r="AH59" s="298"/>
      <c r="AI59" s="248"/>
      <c r="AJ59" s="298"/>
      <c r="AK59" s="248"/>
      <c r="AL59" s="248"/>
      <c r="AM59" s="298"/>
      <c r="AN59" s="248"/>
      <c r="AO59" s="298"/>
    </row>
    <row r="60" spans="1:41" ht="31.5">
      <c r="A60" s="182" t="s">
        <v>623</v>
      </c>
      <c r="B60" s="38" t="s">
        <v>624</v>
      </c>
      <c r="C60" s="182"/>
      <c r="D60" s="182" t="s">
        <v>625</v>
      </c>
      <c r="E60" s="303">
        <v>0</v>
      </c>
      <c r="F60" s="303">
        <v>0</v>
      </c>
      <c r="G60" s="304"/>
      <c r="H60" s="303">
        <v>0</v>
      </c>
      <c r="I60" s="303">
        <v>0</v>
      </c>
      <c r="J60" s="304"/>
      <c r="K60" s="305">
        <v>0</v>
      </c>
      <c r="L60" s="305">
        <v>0</v>
      </c>
      <c r="M60" s="304"/>
      <c r="N60" s="305">
        <v>0</v>
      </c>
      <c r="O60" s="305">
        <v>0</v>
      </c>
      <c r="P60" s="304"/>
      <c r="Q60" s="305">
        <v>0</v>
      </c>
      <c r="R60" s="305">
        <v>0</v>
      </c>
      <c r="S60" s="304"/>
      <c r="T60" s="305">
        <v>1.8</v>
      </c>
      <c r="U60" s="305">
        <v>1.8</v>
      </c>
      <c r="V60" s="304">
        <f>+U60/T60</f>
        <v>1</v>
      </c>
      <c r="W60" s="305">
        <f>(5000+750)/1000</f>
        <v>5.75</v>
      </c>
      <c r="X60" s="305">
        <f>(5000+750)/1000</f>
        <v>5.75</v>
      </c>
      <c r="Y60" s="307">
        <f>+X60/W60</f>
        <v>1</v>
      </c>
      <c r="Z60" s="308">
        <f>210000/1000</f>
        <v>210</v>
      </c>
      <c r="AA60" s="308">
        <f>175508/1000</f>
        <v>175.508</v>
      </c>
      <c r="AB60" s="309">
        <f>AA60/Z60</f>
        <v>0.835752380952381</v>
      </c>
      <c r="AC60" s="248">
        <f>44550/1000</f>
        <v>44.55</v>
      </c>
      <c r="AD60" s="248">
        <f>44550/1000</f>
        <v>44.55</v>
      </c>
      <c r="AE60" s="298">
        <f>AD60/AC60</f>
        <v>1</v>
      </c>
      <c r="AF60" s="248"/>
      <c r="AG60" s="248"/>
      <c r="AH60" s="298"/>
      <c r="AI60" s="248"/>
      <c r="AJ60" s="298"/>
      <c r="AK60" s="248"/>
      <c r="AL60" s="248"/>
      <c r="AM60" s="298"/>
      <c r="AN60" s="248"/>
      <c r="AO60" s="298"/>
    </row>
    <row r="61" spans="1:41" ht="31.5">
      <c r="A61" s="221" t="s">
        <v>626</v>
      </c>
      <c r="B61" s="289" t="s">
        <v>627</v>
      </c>
      <c r="C61" s="221">
        <v>320</v>
      </c>
      <c r="D61" s="221" t="s">
        <v>628</v>
      </c>
      <c r="E61" s="310">
        <v>0</v>
      </c>
      <c r="F61" s="310">
        <v>0</v>
      </c>
      <c r="G61" s="291"/>
      <c r="H61" s="310">
        <v>0</v>
      </c>
      <c r="I61" s="310">
        <v>0</v>
      </c>
      <c r="J61" s="291"/>
      <c r="K61" s="290">
        <v>0</v>
      </c>
      <c r="L61" s="290">
        <v>0</v>
      </c>
      <c r="M61" s="291"/>
      <c r="N61" s="290">
        <v>0.8</v>
      </c>
      <c r="O61" s="290">
        <v>0.8</v>
      </c>
      <c r="P61" s="291">
        <f>+O61/N61</f>
        <v>1</v>
      </c>
      <c r="Q61" s="290"/>
      <c r="R61" s="290"/>
      <c r="S61" s="291"/>
      <c r="T61" s="290"/>
      <c r="U61" s="290"/>
      <c r="V61" s="291"/>
      <c r="W61" s="290"/>
      <c r="X61" s="290"/>
      <c r="Y61" s="292"/>
      <c r="Z61" s="244"/>
      <c r="AA61" s="244"/>
      <c r="AB61" s="243"/>
      <c r="AC61" s="244"/>
      <c r="AD61" s="244"/>
      <c r="AE61" s="293"/>
      <c r="AF61" s="244"/>
      <c r="AG61" s="244"/>
      <c r="AH61" s="293"/>
      <c r="AI61" s="244"/>
      <c r="AJ61" s="293"/>
      <c r="AK61" s="244"/>
      <c r="AL61" s="244"/>
      <c r="AM61" s="293"/>
      <c r="AN61" s="244"/>
      <c r="AO61" s="293"/>
    </row>
    <row r="62" spans="1:41" ht="31.5">
      <c r="A62" s="221" t="s">
        <v>629</v>
      </c>
      <c r="B62" s="289" t="s">
        <v>630</v>
      </c>
      <c r="C62" s="221">
        <v>340</v>
      </c>
      <c r="D62" s="221">
        <v>34000</v>
      </c>
      <c r="E62" s="310">
        <f>SUM(E63:E67)</f>
        <v>252.59000000000003</v>
      </c>
      <c r="F62" s="310">
        <f>SUM(F63:F67)</f>
        <v>239.4</v>
      </c>
      <c r="G62" s="291">
        <f>+F62/E62</f>
        <v>0.947780988954432</v>
      </c>
      <c r="H62" s="310">
        <f>SUM(H63:H67)</f>
        <v>339</v>
      </c>
      <c r="I62" s="310">
        <f>SUM(I63:I67)</f>
        <v>339</v>
      </c>
      <c r="J62" s="291">
        <f>+I62/H62</f>
        <v>1</v>
      </c>
      <c r="K62" s="310">
        <f>SUM(K63:K67)</f>
        <v>490.94</v>
      </c>
      <c r="L62" s="310">
        <f>SUM(L63:L67)</f>
        <v>482.91999999999996</v>
      </c>
      <c r="M62" s="291">
        <f>+L62/K62</f>
        <v>0.9836639915264593</v>
      </c>
      <c r="N62" s="310">
        <f>SUM(N63:N67)</f>
        <v>493</v>
      </c>
      <c r="O62" s="310">
        <f>SUM(O63:O67)</f>
        <v>493</v>
      </c>
      <c r="P62" s="291">
        <f>+O62/N62</f>
        <v>1</v>
      </c>
      <c r="Q62" s="310">
        <f>SUM(Q63:Q67)</f>
        <v>514.53</v>
      </c>
      <c r="R62" s="310">
        <f>SUM(R63:R67)</f>
        <v>510.42</v>
      </c>
      <c r="S62" s="291">
        <f>+R62/Q62</f>
        <v>0.9920121275727364</v>
      </c>
      <c r="T62" s="310">
        <f>SUM(T63:T67)</f>
        <v>559.6406099999999</v>
      </c>
      <c r="U62" s="310">
        <f>SUM(U63:U67)</f>
        <v>559.6406099999999</v>
      </c>
      <c r="V62" s="291">
        <f>+U62/T62</f>
        <v>1</v>
      </c>
      <c r="W62" s="310">
        <f>SUM(W63:W67)</f>
        <v>483.08763</v>
      </c>
      <c r="X62" s="310">
        <f>SUM(X63:X67)</f>
        <v>483.06472</v>
      </c>
      <c r="Y62" s="292">
        <f>+X62/W62</f>
        <v>0.9999525758918729</v>
      </c>
      <c r="Z62" s="290">
        <f>Z65+Z67</f>
        <v>516.1096699999999</v>
      </c>
      <c r="AA62" s="290">
        <f>AA65+AA67</f>
        <v>516.1096699999999</v>
      </c>
      <c r="AB62" s="292">
        <f>AA62/Z62</f>
        <v>1</v>
      </c>
      <c r="AC62" s="290">
        <f>SUM(AC63:AC67)</f>
        <v>648.6101199999999</v>
      </c>
      <c r="AD62" s="290">
        <f>SUM(AD63:AD67)</f>
        <v>648.54263</v>
      </c>
      <c r="AE62" s="293">
        <f>AD62/AC62</f>
        <v>0.9998959467360764</v>
      </c>
      <c r="AF62" s="290">
        <f>464421.65/1000</f>
        <v>464.42165</v>
      </c>
      <c r="AG62" s="290">
        <f>(244665.05+3245)/1000</f>
        <v>247.91004999999998</v>
      </c>
      <c r="AH62" s="293">
        <f>AG62/AF62</f>
        <v>0.5338038181467207</v>
      </c>
      <c r="AI62" s="290">
        <f>456165.59/1000</f>
        <v>456.16559</v>
      </c>
      <c r="AJ62" s="293">
        <f>+AI62/AF62</f>
        <v>0.9822229217780868</v>
      </c>
      <c r="AK62" s="290">
        <f>635866.29/1000</f>
        <v>635.86629</v>
      </c>
      <c r="AL62" s="290">
        <f>(244665.05+3245)/1000</f>
        <v>247.91004999999998</v>
      </c>
      <c r="AM62" s="293">
        <f>AL62/AK62</f>
        <v>0.38987764235779815</v>
      </c>
      <c r="AN62" s="290">
        <f>635866.28/1000</f>
        <v>635.8662800000001</v>
      </c>
      <c r="AO62" s="293">
        <f>+AN62/AK62</f>
        <v>0.9999999842734233</v>
      </c>
    </row>
    <row r="63" spans="1:41" ht="15.75">
      <c r="A63" s="182" t="s">
        <v>631</v>
      </c>
      <c r="B63" s="38" t="s">
        <v>632</v>
      </c>
      <c r="C63" s="182"/>
      <c r="D63" s="182" t="s">
        <v>633</v>
      </c>
      <c r="E63" s="303">
        <v>0</v>
      </c>
      <c r="F63" s="303">
        <v>0</v>
      </c>
      <c r="G63" s="304"/>
      <c r="H63" s="303">
        <v>0</v>
      </c>
      <c r="I63" s="303"/>
      <c r="J63" s="304"/>
      <c r="K63" s="305">
        <v>0</v>
      </c>
      <c r="L63" s="305">
        <v>0</v>
      </c>
      <c r="M63" s="304"/>
      <c r="N63" s="305">
        <v>0</v>
      </c>
      <c r="O63" s="305">
        <v>0</v>
      </c>
      <c r="P63" s="304"/>
      <c r="Q63" s="305"/>
      <c r="R63" s="305"/>
      <c r="S63" s="304"/>
      <c r="T63" s="305"/>
      <c r="U63" s="305"/>
      <c r="V63" s="304"/>
      <c r="W63" s="305"/>
      <c r="X63" s="305"/>
      <c r="Y63" s="307"/>
      <c r="Z63" s="308"/>
      <c r="AA63" s="308"/>
      <c r="AB63" s="311"/>
      <c r="AC63" s="248"/>
      <c r="AD63" s="248"/>
      <c r="AE63" s="298"/>
      <c r="AF63" s="248"/>
      <c r="AG63" s="248"/>
      <c r="AH63" s="298"/>
      <c r="AI63" s="248"/>
      <c r="AJ63" s="298"/>
      <c r="AK63" s="248"/>
      <c r="AL63" s="248"/>
      <c r="AM63" s="298"/>
      <c r="AN63" s="248"/>
      <c r="AO63" s="298"/>
    </row>
    <row r="64" spans="1:41" ht="15.75">
      <c r="A64" s="182" t="s">
        <v>634</v>
      </c>
      <c r="B64" s="38" t="s">
        <v>635</v>
      </c>
      <c r="C64" s="182"/>
      <c r="D64" s="182" t="s">
        <v>636</v>
      </c>
      <c r="E64" s="303">
        <v>0</v>
      </c>
      <c r="F64" s="303">
        <v>0</v>
      </c>
      <c r="G64" s="304"/>
      <c r="H64" s="303">
        <v>0</v>
      </c>
      <c r="I64" s="303"/>
      <c r="J64" s="304"/>
      <c r="K64" s="305">
        <v>0</v>
      </c>
      <c r="L64" s="305">
        <v>0</v>
      </c>
      <c r="M64" s="304"/>
      <c r="N64" s="305">
        <v>0</v>
      </c>
      <c r="O64" s="305">
        <v>0</v>
      </c>
      <c r="P64" s="304"/>
      <c r="Q64" s="305"/>
      <c r="R64" s="305"/>
      <c r="S64" s="304"/>
      <c r="T64" s="305"/>
      <c r="U64" s="305"/>
      <c r="V64" s="304"/>
      <c r="W64" s="305"/>
      <c r="X64" s="305"/>
      <c r="Y64" s="307"/>
      <c r="Z64" s="308"/>
      <c r="AA64" s="308"/>
      <c r="AB64" s="311"/>
      <c r="AC64" s="248"/>
      <c r="AD64" s="248"/>
      <c r="AE64" s="298"/>
      <c r="AF64" s="248"/>
      <c r="AG64" s="248"/>
      <c r="AH64" s="298"/>
      <c r="AI64" s="248"/>
      <c r="AJ64" s="298"/>
      <c r="AK64" s="248"/>
      <c r="AL64" s="248"/>
      <c r="AM64" s="298"/>
      <c r="AN64" s="248"/>
      <c r="AO64" s="298"/>
    </row>
    <row r="65" spans="1:41" ht="15.75">
      <c r="A65" s="182" t="s">
        <v>637</v>
      </c>
      <c r="B65" s="38" t="s">
        <v>638</v>
      </c>
      <c r="C65" s="182"/>
      <c r="D65" s="182" t="s">
        <v>639</v>
      </c>
      <c r="E65" s="303">
        <v>124.01</v>
      </c>
      <c r="F65" s="303">
        <v>124.01</v>
      </c>
      <c r="G65" s="304">
        <f>+F65/E65</f>
        <v>1</v>
      </c>
      <c r="H65" s="303">
        <v>144</v>
      </c>
      <c r="I65" s="303">
        <v>144</v>
      </c>
      <c r="J65" s="304">
        <f>+I65/H65</f>
        <v>1</v>
      </c>
      <c r="K65" s="305">
        <v>163</v>
      </c>
      <c r="L65" s="305">
        <v>154.98</v>
      </c>
      <c r="M65" s="304">
        <f>+L65/K65</f>
        <v>0.9507975460122698</v>
      </c>
      <c r="N65" s="305">
        <v>143</v>
      </c>
      <c r="O65" s="305">
        <v>143</v>
      </c>
      <c r="P65" s="304">
        <f>+O65/N65</f>
        <v>1</v>
      </c>
      <c r="Q65" s="305">
        <v>153.05</v>
      </c>
      <c r="R65" s="305">
        <v>149.43</v>
      </c>
      <c r="S65" s="304">
        <f>+R65/Q65</f>
        <v>0.9763475988239138</v>
      </c>
      <c r="T65" s="305">
        <f>(67184.25+87932.8+5900)/1000</f>
        <v>161.01704999999998</v>
      </c>
      <c r="U65" s="305">
        <f>(67184.25+87932.8+5900)/1000</f>
        <v>161.01704999999998</v>
      </c>
      <c r="V65" s="304">
        <f>+U65/T65</f>
        <v>1</v>
      </c>
      <c r="W65" s="305">
        <f>(89970.9+44999.96+8211)/1000</f>
        <v>143.18185999999997</v>
      </c>
      <c r="X65" s="305">
        <f>(89970.9+44977.05+8211)/1000</f>
        <v>143.15895</v>
      </c>
      <c r="Y65" s="307">
        <f>+X65/W65</f>
        <v>0.9998399936975259</v>
      </c>
      <c r="Z65" s="308">
        <f>(97821.4+40056.15+21400+10000)/1000</f>
        <v>169.27755</v>
      </c>
      <c r="AA65" s="308">
        <f>(97821.4+40056.15+21400+10000)/1000</f>
        <v>169.27755</v>
      </c>
      <c r="AB65" s="309">
        <f>AA65/Z65</f>
        <v>1</v>
      </c>
      <c r="AC65" s="248">
        <f>160883.07/1000</f>
        <v>160.88307</v>
      </c>
      <c r="AD65" s="248">
        <f>160883.07/1000</f>
        <v>160.88307</v>
      </c>
      <c r="AE65" s="298">
        <f>AD65/AC65</f>
        <v>1</v>
      </c>
      <c r="AF65" s="248"/>
      <c r="AG65" s="248"/>
      <c r="AH65" s="298"/>
      <c r="AI65" s="248"/>
      <c r="AJ65" s="298"/>
      <c r="AK65" s="248"/>
      <c r="AL65" s="248"/>
      <c r="AM65" s="298"/>
      <c r="AN65" s="248"/>
      <c r="AO65" s="298"/>
    </row>
    <row r="66" spans="1:41" ht="15.75">
      <c r="A66" s="182" t="s">
        <v>640</v>
      </c>
      <c r="B66" s="38" t="s">
        <v>641</v>
      </c>
      <c r="C66" s="182"/>
      <c r="D66" s="182" t="s">
        <v>642</v>
      </c>
      <c r="E66" s="303">
        <v>0</v>
      </c>
      <c r="F66" s="303">
        <v>0</v>
      </c>
      <c r="G66" s="304"/>
      <c r="H66" s="303">
        <v>0</v>
      </c>
      <c r="I66" s="303">
        <v>0</v>
      </c>
      <c r="J66" s="304"/>
      <c r="K66" s="305">
        <v>0</v>
      </c>
      <c r="L66" s="305">
        <v>0</v>
      </c>
      <c r="M66" s="304"/>
      <c r="N66" s="305">
        <v>0</v>
      </c>
      <c r="O66" s="305">
        <v>0</v>
      </c>
      <c r="P66" s="304"/>
      <c r="Q66" s="305"/>
      <c r="R66" s="305"/>
      <c r="S66" s="304"/>
      <c r="T66" s="305"/>
      <c r="U66" s="305"/>
      <c r="V66" s="304"/>
      <c r="W66" s="305"/>
      <c r="X66" s="305"/>
      <c r="Y66" s="307"/>
      <c r="Z66" s="308"/>
      <c r="AA66" s="308"/>
      <c r="AB66" s="311"/>
      <c r="AC66" s="248"/>
      <c r="AD66" s="248"/>
      <c r="AE66" s="298"/>
      <c r="AF66" s="248"/>
      <c r="AG66" s="248"/>
      <c r="AH66" s="298"/>
      <c r="AI66" s="248"/>
      <c r="AJ66" s="298"/>
      <c r="AK66" s="248"/>
      <c r="AL66" s="248"/>
      <c r="AM66" s="298"/>
      <c r="AN66" s="248"/>
      <c r="AO66" s="298"/>
    </row>
    <row r="67" spans="1:41" ht="31.5">
      <c r="A67" s="182" t="s">
        <v>643</v>
      </c>
      <c r="B67" s="38" t="s">
        <v>644</v>
      </c>
      <c r="C67" s="182"/>
      <c r="D67" s="182" t="s">
        <v>645</v>
      </c>
      <c r="E67" s="303">
        <v>128.58</v>
      </c>
      <c r="F67" s="303">
        <v>115.39</v>
      </c>
      <c r="G67" s="304">
        <f>+F67/E67</f>
        <v>0.8974179499144501</v>
      </c>
      <c r="H67" s="303">
        <v>195</v>
      </c>
      <c r="I67" s="303">
        <v>195</v>
      </c>
      <c r="J67" s="304">
        <f>+I67/H67</f>
        <v>1</v>
      </c>
      <c r="K67" s="305">
        <v>327.94</v>
      </c>
      <c r="L67" s="305">
        <v>327.94</v>
      </c>
      <c r="M67" s="304">
        <f>+L67/K67</f>
        <v>1</v>
      </c>
      <c r="N67" s="305">
        <v>350</v>
      </c>
      <c r="O67" s="305">
        <v>350</v>
      </c>
      <c r="P67" s="304">
        <f>+O67/N67</f>
        <v>1</v>
      </c>
      <c r="Q67" s="305">
        <v>361.48</v>
      </c>
      <c r="R67" s="305">
        <v>360.99</v>
      </c>
      <c r="S67" s="304">
        <f>+R67/Q67</f>
        <v>0.9986444616576298</v>
      </c>
      <c r="T67" s="305">
        <f>(22500+376123.56)/1000</f>
        <v>398.62356</v>
      </c>
      <c r="U67" s="305">
        <f>(22500+376123.56)/1000</f>
        <v>398.62356</v>
      </c>
      <c r="V67" s="304">
        <f>+U67/T67</f>
        <v>1</v>
      </c>
      <c r="W67" s="305">
        <f>(266454.4+4190+67073.34+2188.03)/1000</f>
        <v>339.90577</v>
      </c>
      <c r="X67" s="305">
        <f>(2188.03+67073.34+4190+266454.4)/1000</f>
        <v>339.90577</v>
      </c>
      <c r="Y67" s="307">
        <f>+X67/W67</f>
        <v>1</v>
      </c>
      <c r="Z67" s="308">
        <f>(3907+22314+23986.4+17276+3110+33038+121457.54+72641.18+49102)/1000</f>
        <v>346.83212</v>
      </c>
      <c r="AA67" s="308">
        <f>(3907+22314+23986.4+17276+3110+33038+121457.54+72641.18+49102)/1000</f>
        <v>346.83212</v>
      </c>
      <c r="AB67" s="309">
        <f>AA67/Z67</f>
        <v>1</v>
      </c>
      <c r="AC67" s="248">
        <f>487727.05/1000</f>
        <v>487.72704999999996</v>
      </c>
      <c r="AD67" s="248">
        <f>487659.56/1000</f>
        <v>487.65956</v>
      </c>
      <c r="AE67" s="298">
        <f>AD67/AC67</f>
        <v>0.9998616234223631</v>
      </c>
      <c r="AF67" s="248"/>
      <c r="AG67" s="248"/>
      <c r="AH67" s="298"/>
      <c r="AI67" s="248"/>
      <c r="AJ67" s="298"/>
      <c r="AK67" s="248"/>
      <c r="AL67" s="248"/>
      <c r="AM67" s="298"/>
      <c r="AN67" s="248"/>
      <c r="AO67" s="298"/>
    </row>
    <row r="68" spans="1:41" ht="15.75">
      <c r="A68" s="169"/>
      <c r="B68" s="57" t="s">
        <v>646</v>
      </c>
      <c r="C68" s="169"/>
      <c r="D68" s="169"/>
      <c r="E68" s="297">
        <f>E8+E53</f>
        <v>308555.22000000003</v>
      </c>
      <c r="F68" s="297">
        <f>F8+F53</f>
        <v>294151.33</v>
      </c>
      <c r="G68" s="295">
        <f>+F68/E68</f>
        <v>0.9533182747645623</v>
      </c>
      <c r="H68" s="297">
        <f>H8+H53</f>
        <v>322315.07999999996</v>
      </c>
      <c r="I68" s="297">
        <f>I8+I53</f>
        <v>307916.45999999996</v>
      </c>
      <c r="J68" s="295">
        <f>+I68/H68</f>
        <v>0.9553275012760806</v>
      </c>
      <c r="K68" s="297">
        <f>K8+K53</f>
        <v>349499.0899999999</v>
      </c>
      <c r="L68" s="297">
        <f>L8+L53</f>
        <v>314138.84</v>
      </c>
      <c r="M68" s="295">
        <f>+L68/K68</f>
        <v>0.8988259168285677</v>
      </c>
      <c r="N68" s="297">
        <f>N8+N53</f>
        <v>340292.95999999996</v>
      </c>
      <c r="O68" s="297">
        <f>O8+O53</f>
        <v>306666.6399999999</v>
      </c>
      <c r="P68" s="295">
        <f>+O68/N68</f>
        <v>0.9011842031642381</v>
      </c>
      <c r="Q68" s="297">
        <f>Q8+Q53</f>
        <v>345604.35000000003</v>
      </c>
      <c r="R68" s="297">
        <f>R8+R53</f>
        <v>339121.18738</v>
      </c>
      <c r="S68" s="295">
        <f>+R68/Q68</f>
        <v>0.9812410850152783</v>
      </c>
      <c r="T68" s="297">
        <f>T8+T53</f>
        <v>390493.00568</v>
      </c>
      <c r="U68" s="297">
        <f>U8+U53</f>
        <v>381744.44174</v>
      </c>
      <c r="V68" s="295">
        <f>+U68/T68</f>
        <v>0.9775961059154814</v>
      </c>
      <c r="W68" s="297">
        <f>W8+W53</f>
        <v>466096.77287000004</v>
      </c>
      <c r="X68" s="297">
        <f>X8+X53</f>
        <v>456907.76352000004</v>
      </c>
      <c r="Y68" s="296">
        <f>+X68/W68</f>
        <v>0.9802851899329436</v>
      </c>
      <c r="Z68" s="297">
        <f>Z8+Z53</f>
        <v>482228.57016</v>
      </c>
      <c r="AA68" s="297">
        <f>AA8+AA53</f>
        <v>472631.0124999999</v>
      </c>
      <c r="AB68" s="296">
        <f>AA68/Z68</f>
        <v>0.9800974926541252</v>
      </c>
      <c r="AC68" s="297">
        <f>AC8+AC53</f>
        <v>504014.76926999993</v>
      </c>
      <c r="AD68" s="297">
        <f>AD8+AD53</f>
        <v>488005.25022</v>
      </c>
      <c r="AE68" s="298">
        <f>AD68/AC68</f>
        <v>0.9682360120653059</v>
      </c>
      <c r="AF68" s="297">
        <f>AF8+AF53</f>
        <v>533490.15763</v>
      </c>
      <c r="AG68" s="297">
        <f>AG8+AG53</f>
        <v>263414.33665000007</v>
      </c>
      <c r="AH68" s="298">
        <f>AG68/AF68</f>
        <v>0.49375669425693514</v>
      </c>
      <c r="AI68" s="297">
        <f>AI8+AI53</f>
        <v>528118.8521100001</v>
      </c>
      <c r="AJ68" s="298">
        <f>+AI68/AF68</f>
        <v>0.9899317626704461</v>
      </c>
      <c r="AK68" s="297">
        <f>AK8+AK53</f>
        <v>686441.1800700001</v>
      </c>
      <c r="AL68" s="297">
        <f>AL8+AL53</f>
        <v>263414.33665000007</v>
      </c>
      <c r="AM68" s="298">
        <f>AL68/AK68</f>
        <v>0.3837391233188229</v>
      </c>
      <c r="AN68" s="297">
        <f>AN8+AN53</f>
        <v>673489.5543099999</v>
      </c>
      <c r="AO68" s="298">
        <f>+AN68/AK68</f>
        <v>0.9811322133111544</v>
      </c>
    </row>
    <row r="69" spans="32:40" ht="15.75">
      <c r="AF69" s="313"/>
      <c r="AI69" s="313"/>
      <c r="AK69" s="313"/>
      <c r="AN69" s="313"/>
    </row>
    <row r="70" spans="17:40" ht="15.75">
      <c r="Q70" s="313"/>
      <c r="R70" s="313"/>
      <c r="T70" s="313"/>
      <c r="U70" s="313"/>
      <c r="W70" s="313"/>
      <c r="X70" s="313"/>
      <c r="Z70" s="314"/>
      <c r="AA70" s="314"/>
      <c r="AC70" s="313">
        <f>504014770.33/1000</f>
        <v>504014.77032999997</v>
      </c>
      <c r="AD70" s="313">
        <f>488005250.23/1000</f>
        <v>488005.25023</v>
      </c>
      <c r="AF70" s="313"/>
      <c r="AG70" s="313"/>
      <c r="AK70" s="313"/>
      <c r="AL70" s="313"/>
      <c r="AN70" s="313"/>
    </row>
    <row r="71" spans="26:27" ht="15.75">
      <c r="Z71" s="313"/>
      <c r="AA71" s="314"/>
    </row>
    <row r="72" spans="29:38" ht="15.75">
      <c r="AC72" s="313"/>
      <c r="AD72" s="313"/>
      <c r="AF72" s="313"/>
      <c r="AG72" s="313"/>
      <c r="AK72" s="313"/>
      <c r="AL72" s="313"/>
    </row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7" ht="15.75"/>
    <row r="368" ht="15.75"/>
    <row r="369" ht="15.75"/>
  </sheetData>
  <sheetProtection selectLockedCells="1" selectUnlockedCells="1"/>
  <mergeCells count="4">
    <mergeCell ref="A1:D1"/>
    <mergeCell ref="A2:D2"/>
    <mergeCell ref="A3:AH3"/>
    <mergeCell ref="A4:D4"/>
  </mergeCells>
  <printOptions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V101"/>
  <sheetViews>
    <sheetView zoomScalePageLayoutView="0" workbookViewId="0" topLeftCell="A4">
      <selection activeCell="H22" sqref="H22"/>
    </sheetView>
  </sheetViews>
  <sheetFormatPr defaultColWidth="9.00390625" defaultRowHeight="12.75"/>
  <cols>
    <col min="1" max="1" width="6.50390625" style="0" customWidth="1"/>
    <col min="2" max="2" width="17.50390625" style="0" customWidth="1"/>
    <col min="3" max="3" width="14.50390625" style="0" customWidth="1"/>
    <col min="4" max="4" width="36.50390625" style="0" customWidth="1"/>
    <col min="5" max="5" width="16.50390625" style="0" customWidth="1"/>
    <col min="6" max="7" width="11.50390625" style="0" customWidth="1"/>
    <col min="8" max="8" width="12.50390625" style="0" customWidth="1"/>
    <col min="9" max="9" width="11.50390625" style="0" customWidth="1"/>
    <col min="10" max="10" width="10.50390625" style="0" customWidth="1"/>
    <col min="11" max="11" width="15.50390625" style="0" customWidth="1"/>
  </cols>
  <sheetData>
    <row r="1" spans="1:22" ht="15">
      <c r="A1" s="15"/>
      <c r="B1" s="15"/>
      <c r="C1" s="15"/>
      <c r="D1" s="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22" ht="17.25">
      <c r="A2" s="316"/>
      <c r="B2" s="364" t="s">
        <v>24</v>
      </c>
      <c r="C2" s="364"/>
      <c r="D2" s="364"/>
      <c r="E2" s="364"/>
      <c r="F2" s="364"/>
      <c r="G2" s="13"/>
      <c r="H2" s="13"/>
      <c r="I2" s="13"/>
      <c r="J2" s="13"/>
      <c r="K2" s="13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3" spans="1:22" ht="17.25">
      <c r="A3" s="16"/>
      <c r="B3" s="387" t="s">
        <v>25</v>
      </c>
      <c r="C3" s="387"/>
      <c r="D3" s="387"/>
      <c r="E3" s="387"/>
      <c r="F3" s="387"/>
      <c r="G3" s="13"/>
      <c r="H3" s="13"/>
      <c r="I3" s="13"/>
      <c r="J3" s="13"/>
      <c r="K3" s="13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</row>
    <row r="4" spans="1:22" ht="17.25">
      <c r="A4" s="17"/>
      <c r="B4" s="17"/>
      <c r="C4" s="17"/>
      <c r="D4" s="17"/>
      <c r="E4" s="75"/>
      <c r="F4" s="5"/>
      <c r="G4" s="5"/>
      <c r="H4" s="5"/>
      <c r="I4" s="5"/>
      <c r="J4" s="5"/>
      <c r="K4" s="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</row>
    <row r="5" spans="1:22" ht="15">
      <c r="A5" s="18"/>
      <c r="B5" s="13"/>
      <c r="C5" s="13"/>
      <c r="D5" s="13"/>
      <c r="E5" s="13"/>
      <c r="F5" s="13"/>
      <c r="G5" s="13"/>
      <c r="H5" s="13"/>
      <c r="I5" s="13"/>
      <c r="J5" s="13"/>
      <c r="K5" s="13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</row>
    <row r="6" spans="1:22" ht="12.75" customHeight="1">
      <c r="A6" s="388" t="s">
        <v>647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</row>
    <row r="7" spans="1:22" ht="13.5">
      <c r="A7" s="317"/>
      <c r="B7" s="317"/>
      <c r="C7" s="318"/>
      <c r="D7" s="318"/>
      <c r="E7" s="318"/>
      <c r="F7" s="319"/>
      <c r="G7" s="210"/>
      <c r="H7" s="210"/>
      <c r="I7" s="210"/>
      <c r="J7" s="210"/>
      <c r="K7" s="210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</row>
    <row r="8" spans="1:22" ht="13.5">
      <c r="A8" s="320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</row>
    <row r="9" spans="1:22" ht="12.75" customHeight="1">
      <c r="A9" s="385" t="s">
        <v>207</v>
      </c>
      <c r="B9" s="385" t="s">
        <v>648</v>
      </c>
      <c r="C9" s="385" t="s">
        <v>649</v>
      </c>
      <c r="D9" s="385" t="s">
        <v>650</v>
      </c>
      <c r="E9" s="385" t="s">
        <v>651</v>
      </c>
      <c r="F9" s="386" t="s">
        <v>652</v>
      </c>
      <c r="G9" s="386"/>
      <c r="H9" s="386"/>
      <c r="I9" s="386"/>
      <c r="J9" s="386"/>
      <c r="K9" s="385" t="s">
        <v>653</v>
      </c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</row>
    <row r="10" spans="1:22" ht="30" customHeight="1">
      <c r="A10" s="385"/>
      <c r="B10" s="385"/>
      <c r="C10" s="385"/>
      <c r="D10" s="385"/>
      <c r="E10" s="385"/>
      <c r="F10" s="322" t="s">
        <v>654</v>
      </c>
      <c r="G10" s="321" t="s">
        <v>655</v>
      </c>
      <c r="H10" s="321" t="s">
        <v>656</v>
      </c>
      <c r="I10" s="321" t="s">
        <v>657</v>
      </c>
      <c r="J10" s="321" t="s">
        <v>658</v>
      </c>
      <c r="K10" s="38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</row>
    <row r="11" spans="1:22" s="325" customFormat="1" ht="10.5" customHeight="1">
      <c r="A11" s="323">
        <v>1</v>
      </c>
      <c r="B11" s="324">
        <v>2</v>
      </c>
      <c r="C11" s="324">
        <v>3</v>
      </c>
      <c r="D11" s="323">
        <v>4</v>
      </c>
      <c r="E11" s="324">
        <v>5</v>
      </c>
      <c r="F11" s="324">
        <v>6</v>
      </c>
      <c r="G11" s="323">
        <v>7</v>
      </c>
      <c r="H11" s="324">
        <v>8</v>
      </c>
      <c r="I11" s="324">
        <v>9</v>
      </c>
      <c r="J11" s="323">
        <v>10</v>
      </c>
      <c r="K11" s="324">
        <v>11</v>
      </c>
      <c r="M11" s="326"/>
      <c r="N11" s="326"/>
      <c r="O11" s="326"/>
      <c r="P11" s="326"/>
      <c r="Q11" s="326"/>
      <c r="R11" s="326"/>
      <c r="S11" s="326"/>
      <c r="T11" s="326"/>
      <c r="U11" s="326"/>
      <c r="V11" s="326"/>
    </row>
    <row r="12" spans="1:22" s="210" customFormat="1" ht="38.25" customHeight="1">
      <c r="A12" s="389">
        <v>1</v>
      </c>
      <c r="B12" s="390" t="s">
        <v>659</v>
      </c>
      <c r="C12" s="390" t="s">
        <v>660</v>
      </c>
      <c r="D12" s="327" t="s">
        <v>661</v>
      </c>
      <c r="E12" s="328" t="s">
        <v>662</v>
      </c>
      <c r="F12" s="329">
        <v>24.99</v>
      </c>
      <c r="G12" s="330">
        <v>6222800</v>
      </c>
      <c r="H12" s="330" t="s">
        <v>663</v>
      </c>
      <c r="I12" s="330" t="s">
        <v>664</v>
      </c>
      <c r="J12" s="331">
        <v>22505</v>
      </c>
      <c r="K12" s="332" t="s">
        <v>665</v>
      </c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</row>
    <row r="13" spans="1:22" s="337" customFormat="1" ht="38.25" customHeight="1">
      <c r="A13" s="389"/>
      <c r="B13" s="390"/>
      <c r="C13" s="390"/>
      <c r="D13" s="327" t="s">
        <v>666</v>
      </c>
      <c r="E13" s="328" t="s">
        <v>662</v>
      </c>
      <c r="F13" s="334">
        <v>195</v>
      </c>
      <c r="G13" s="335" t="s">
        <v>667</v>
      </c>
      <c r="H13" s="335" t="s">
        <v>668</v>
      </c>
      <c r="I13" s="335" t="s">
        <v>669</v>
      </c>
      <c r="J13" s="336">
        <v>22606</v>
      </c>
      <c r="K13" s="332" t="s">
        <v>665</v>
      </c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</row>
    <row r="14" spans="1:22" ht="15">
      <c r="A14" s="206"/>
      <c r="B14" s="67"/>
      <c r="C14" s="206"/>
      <c r="D14" s="206"/>
      <c r="E14" s="338"/>
      <c r="F14" s="338"/>
      <c r="G14" s="339"/>
      <c r="H14" s="338"/>
      <c r="I14" s="338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</row>
    <row r="15" spans="1:22" ht="15">
      <c r="A15" s="15"/>
      <c r="B15" s="340"/>
      <c r="C15" s="15"/>
      <c r="D15" s="15"/>
      <c r="E15" s="338"/>
      <c r="F15" s="338"/>
      <c r="G15" s="339"/>
      <c r="H15" s="338"/>
      <c r="I15" s="338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</row>
    <row r="16" spans="1:22" ht="15">
      <c r="A16" s="206"/>
      <c r="B16" s="67"/>
      <c r="C16" s="206"/>
      <c r="D16" s="206"/>
      <c r="E16" s="338"/>
      <c r="F16" s="338"/>
      <c r="G16" s="338"/>
      <c r="H16" s="338"/>
      <c r="I16" s="338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</row>
    <row r="17" spans="1:22" ht="15">
      <c r="A17" s="206"/>
      <c r="B17" s="67"/>
      <c r="C17" s="206"/>
      <c r="D17" s="206"/>
      <c r="E17" s="338"/>
      <c r="F17" s="338"/>
      <c r="G17" s="339"/>
      <c r="H17" s="338"/>
      <c r="I17" s="338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</row>
    <row r="18" spans="1:22" ht="12.75" customHeight="1">
      <c r="A18" s="388" t="s">
        <v>670</v>
      </c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</row>
    <row r="19" spans="1:22" ht="13.5">
      <c r="A19" s="317"/>
      <c r="B19" s="317"/>
      <c r="C19" s="318"/>
      <c r="D19" s="318"/>
      <c r="E19" s="318"/>
      <c r="F19" s="319"/>
      <c r="G19" s="210"/>
      <c r="H19" s="210"/>
      <c r="I19" s="210"/>
      <c r="J19" s="210"/>
      <c r="K19" s="210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</row>
    <row r="20" spans="1:22" ht="13.5">
      <c r="A20" s="320"/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</row>
    <row r="21" spans="1:22" ht="12.75" customHeight="1">
      <c r="A21" s="385" t="s">
        <v>207</v>
      </c>
      <c r="B21" s="385" t="s">
        <v>648</v>
      </c>
      <c r="C21" s="385" t="s">
        <v>649</v>
      </c>
      <c r="D21" s="385" t="s">
        <v>650</v>
      </c>
      <c r="E21" s="385" t="s">
        <v>651</v>
      </c>
      <c r="F21" s="386" t="s">
        <v>652</v>
      </c>
      <c r="G21" s="386"/>
      <c r="H21" s="386"/>
      <c r="I21" s="386"/>
      <c r="J21" s="386"/>
      <c r="K21" s="385" t="s">
        <v>653</v>
      </c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</row>
    <row r="22" spans="1:22" ht="13.5">
      <c r="A22" s="385"/>
      <c r="B22" s="385"/>
      <c r="C22" s="385"/>
      <c r="D22" s="385"/>
      <c r="E22" s="385"/>
      <c r="F22" s="322" t="s">
        <v>654</v>
      </c>
      <c r="G22" s="321" t="s">
        <v>655</v>
      </c>
      <c r="H22" s="321" t="s">
        <v>656</v>
      </c>
      <c r="I22" s="321" t="s">
        <v>657</v>
      </c>
      <c r="J22" s="321" t="s">
        <v>658</v>
      </c>
      <c r="K22" s="38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</row>
    <row r="23" spans="1:22" ht="12.75">
      <c r="A23" s="323">
        <v>1</v>
      </c>
      <c r="B23" s="324">
        <v>2</v>
      </c>
      <c r="C23" s="324">
        <v>3</v>
      </c>
      <c r="D23" s="323">
        <v>4</v>
      </c>
      <c r="E23" s="324">
        <v>5</v>
      </c>
      <c r="F23" s="324">
        <v>6</v>
      </c>
      <c r="G23" s="323">
        <v>7</v>
      </c>
      <c r="H23" s="324">
        <v>8</v>
      </c>
      <c r="I23" s="324">
        <v>9</v>
      </c>
      <c r="J23" s="323">
        <v>10</v>
      </c>
      <c r="K23" s="324">
        <v>11</v>
      </c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</row>
    <row r="24" spans="1:22" ht="12.75">
      <c r="A24" s="389"/>
      <c r="B24" s="390"/>
      <c r="C24" s="390"/>
      <c r="D24" s="327"/>
      <c r="E24" s="328"/>
      <c r="F24" s="329"/>
      <c r="G24" s="330"/>
      <c r="H24" s="330"/>
      <c r="I24" s="330"/>
      <c r="J24" s="331"/>
      <c r="K24" s="332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</row>
    <row r="25" spans="1:22" ht="12.75">
      <c r="A25" s="389"/>
      <c r="B25" s="390"/>
      <c r="C25" s="390"/>
      <c r="D25" s="327"/>
      <c r="E25" s="328"/>
      <c r="F25" s="334"/>
      <c r="G25" s="335"/>
      <c r="H25" s="335"/>
      <c r="I25" s="335"/>
      <c r="J25" s="336"/>
      <c r="K25" s="332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</row>
    <row r="26" spans="1:22" ht="15">
      <c r="A26" s="206"/>
      <c r="B26" s="67"/>
      <c r="C26" s="206"/>
      <c r="D26" s="206"/>
      <c r="E26" s="338"/>
      <c r="F26" s="338"/>
      <c r="G26" s="339"/>
      <c r="H26" s="338"/>
      <c r="I26" s="338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</row>
    <row r="27" spans="1:22" ht="15">
      <c r="A27" s="15"/>
      <c r="B27" s="340"/>
      <c r="C27" s="15"/>
      <c r="D27" s="15"/>
      <c r="E27" s="341"/>
      <c r="F27" s="341"/>
      <c r="G27" s="341"/>
      <c r="H27" s="341"/>
      <c r="I27" s="341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</row>
    <row r="28" spans="1:22" ht="15">
      <c r="A28" s="206"/>
      <c r="B28" s="67"/>
      <c r="C28" s="206"/>
      <c r="D28" s="206"/>
      <c r="E28" s="338"/>
      <c r="F28" s="338"/>
      <c r="G28" s="338"/>
      <c r="H28" s="338"/>
      <c r="I28" s="338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</row>
    <row r="29" spans="1:22" ht="15">
      <c r="A29" s="206"/>
      <c r="B29" s="67"/>
      <c r="C29" s="206"/>
      <c r="D29" s="206"/>
      <c r="E29" s="338"/>
      <c r="F29" s="338"/>
      <c r="G29" s="338"/>
      <c r="H29" s="338"/>
      <c r="I29" s="338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</row>
    <row r="30" spans="1:22" ht="15">
      <c r="A30" s="206"/>
      <c r="B30" s="67"/>
      <c r="C30" s="206"/>
      <c r="D30" s="206"/>
      <c r="E30" s="338"/>
      <c r="F30" s="338"/>
      <c r="G30" s="338"/>
      <c r="H30" s="338"/>
      <c r="I30" s="338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</row>
    <row r="31" spans="1:22" ht="15">
      <c r="A31" s="206"/>
      <c r="B31" s="67"/>
      <c r="C31" s="206"/>
      <c r="D31" s="206"/>
      <c r="E31" s="338"/>
      <c r="F31" s="338"/>
      <c r="G31" s="338"/>
      <c r="H31" s="338"/>
      <c r="I31" s="338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</row>
    <row r="32" spans="1:22" ht="15">
      <c r="A32" s="15"/>
      <c r="B32" s="340"/>
      <c r="C32" s="15"/>
      <c r="D32" s="15"/>
      <c r="E32" s="341"/>
      <c r="F32" s="341"/>
      <c r="G32" s="341"/>
      <c r="H32" s="341"/>
      <c r="I32" s="341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</row>
    <row r="33" spans="1:22" ht="15">
      <c r="A33" s="206"/>
      <c r="B33" s="67"/>
      <c r="C33" s="206"/>
      <c r="D33" s="206"/>
      <c r="E33" s="338"/>
      <c r="F33" s="338"/>
      <c r="G33" s="339"/>
      <c r="H33" s="338"/>
      <c r="I33" s="338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</row>
    <row r="34" spans="1:22" ht="15">
      <c r="A34" s="206"/>
      <c r="B34" s="67"/>
      <c r="C34" s="206"/>
      <c r="D34" s="206"/>
      <c r="E34" s="338"/>
      <c r="F34" s="338"/>
      <c r="G34" s="339"/>
      <c r="H34" s="338"/>
      <c r="I34" s="338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</row>
    <row r="35" spans="1:22" ht="15">
      <c r="A35" s="206"/>
      <c r="B35" s="67"/>
      <c r="C35" s="206"/>
      <c r="D35" s="206"/>
      <c r="E35" s="338"/>
      <c r="F35" s="338"/>
      <c r="G35" s="339"/>
      <c r="H35" s="338"/>
      <c r="I35" s="338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</row>
    <row r="36" spans="1:22" ht="15">
      <c r="A36" s="206"/>
      <c r="B36" s="67"/>
      <c r="C36" s="206"/>
      <c r="D36" s="206"/>
      <c r="E36" s="338"/>
      <c r="F36" s="338"/>
      <c r="G36" s="339"/>
      <c r="H36" s="338"/>
      <c r="I36" s="338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</row>
    <row r="37" spans="1:22" ht="15">
      <c r="A37" s="206"/>
      <c r="B37" s="67"/>
      <c r="C37" s="206"/>
      <c r="D37" s="206"/>
      <c r="E37" s="338"/>
      <c r="F37" s="338"/>
      <c r="G37" s="339"/>
      <c r="H37" s="338"/>
      <c r="I37" s="338"/>
      <c r="J37" s="315"/>
      <c r="K37" s="315"/>
      <c r="L37" s="315"/>
      <c r="M37" s="315"/>
      <c r="N37" s="315"/>
      <c r="O37" s="315"/>
      <c r="P37" s="315"/>
      <c r="Q37" s="315"/>
      <c r="R37" s="315"/>
      <c r="S37" s="315"/>
      <c r="T37" s="315"/>
      <c r="U37" s="315"/>
      <c r="V37" s="315"/>
    </row>
    <row r="38" spans="1:22" ht="15">
      <c r="A38" s="15"/>
      <c r="B38" s="340"/>
      <c r="C38" s="15"/>
      <c r="D38" s="15"/>
      <c r="E38" s="341"/>
      <c r="F38" s="341"/>
      <c r="G38" s="341"/>
      <c r="H38" s="341"/>
      <c r="I38" s="341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</row>
    <row r="39" spans="1:22" ht="15">
      <c r="A39" s="206"/>
      <c r="B39" s="67"/>
      <c r="C39" s="206"/>
      <c r="D39" s="206"/>
      <c r="E39" s="338"/>
      <c r="F39" s="338"/>
      <c r="G39" s="338"/>
      <c r="H39" s="338"/>
      <c r="I39" s="338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</row>
    <row r="40" spans="1:22" ht="15">
      <c r="A40" s="206"/>
      <c r="B40" s="67"/>
      <c r="C40" s="206"/>
      <c r="D40" s="206"/>
      <c r="E40" s="338"/>
      <c r="F40" s="338"/>
      <c r="G40" s="338"/>
      <c r="H40" s="338"/>
      <c r="I40" s="338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</row>
    <row r="41" spans="1:22" ht="15">
      <c r="A41" s="206"/>
      <c r="B41" s="67"/>
      <c r="C41" s="206"/>
      <c r="D41" s="206"/>
      <c r="E41" s="338"/>
      <c r="F41" s="338"/>
      <c r="G41" s="338"/>
      <c r="H41" s="338"/>
      <c r="I41" s="338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</row>
    <row r="42" spans="1:22" ht="15">
      <c r="A42" s="206"/>
      <c r="B42" s="67"/>
      <c r="C42" s="206"/>
      <c r="D42" s="206"/>
      <c r="E42" s="338"/>
      <c r="F42" s="338"/>
      <c r="G42" s="339"/>
      <c r="H42" s="338"/>
      <c r="I42" s="338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</row>
    <row r="43" spans="1:22" ht="15">
      <c r="A43" s="206"/>
      <c r="B43" s="67"/>
      <c r="C43" s="206"/>
      <c r="D43" s="206"/>
      <c r="E43" s="338"/>
      <c r="F43" s="338"/>
      <c r="G43" s="339"/>
      <c r="H43" s="338"/>
      <c r="I43" s="338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</row>
    <row r="44" spans="1:22" ht="15">
      <c r="A44" s="206"/>
      <c r="B44" s="67"/>
      <c r="C44" s="206"/>
      <c r="D44" s="206"/>
      <c r="E44" s="338"/>
      <c r="F44" s="338"/>
      <c r="G44" s="339"/>
      <c r="H44" s="338"/>
      <c r="I44" s="338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</row>
    <row r="45" spans="1:22" ht="15">
      <c r="A45" s="206"/>
      <c r="B45" s="67"/>
      <c r="C45" s="206"/>
      <c r="D45" s="206"/>
      <c r="E45" s="338"/>
      <c r="F45" s="338"/>
      <c r="G45" s="339"/>
      <c r="H45" s="338"/>
      <c r="I45" s="338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</row>
    <row r="46" spans="1:22" ht="15">
      <c r="A46" s="206"/>
      <c r="B46" s="67"/>
      <c r="C46" s="206"/>
      <c r="D46" s="206"/>
      <c r="E46" s="338"/>
      <c r="F46" s="338"/>
      <c r="G46" s="339"/>
      <c r="H46" s="338"/>
      <c r="I46" s="338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</row>
    <row r="47" spans="1:22" ht="15">
      <c r="A47" s="206"/>
      <c r="B47" s="67"/>
      <c r="C47" s="206"/>
      <c r="D47" s="206"/>
      <c r="E47" s="338"/>
      <c r="F47" s="338"/>
      <c r="G47" s="339"/>
      <c r="H47" s="338"/>
      <c r="I47" s="338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</row>
    <row r="48" spans="1:22" ht="15">
      <c r="A48" s="206"/>
      <c r="B48" s="67"/>
      <c r="C48" s="206"/>
      <c r="D48" s="206"/>
      <c r="E48" s="338"/>
      <c r="F48" s="338"/>
      <c r="G48" s="339"/>
      <c r="H48" s="338"/>
      <c r="I48" s="338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</row>
    <row r="49" spans="1:22" ht="15">
      <c r="A49" s="15"/>
      <c r="B49" s="340"/>
      <c r="C49" s="15"/>
      <c r="D49" s="15"/>
      <c r="E49" s="341"/>
      <c r="F49" s="341"/>
      <c r="G49" s="341"/>
      <c r="H49" s="341"/>
      <c r="I49" s="341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</row>
    <row r="50" spans="1:22" ht="15">
      <c r="A50" s="15"/>
      <c r="B50" s="340"/>
      <c r="C50" s="15"/>
      <c r="D50" s="15"/>
      <c r="E50" s="338"/>
      <c r="F50" s="338"/>
      <c r="G50" s="338"/>
      <c r="H50" s="338"/>
      <c r="I50" s="338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</row>
    <row r="51" spans="1:22" ht="15">
      <c r="A51" s="15"/>
      <c r="B51" s="340"/>
      <c r="C51" s="15"/>
      <c r="D51" s="15"/>
      <c r="E51" s="338"/>
      <c r="F51" s="338"/>
      <c r="G51" s="338"/>
      <c r="H51" s="338"/>
      <c r="I51" s="338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</row>
    <row r="52" spans="1:22" ht="15">
      <c r="A52" s="15"/>
      <c r="B52" s="340"/>
      <c r="C52" s="15"/>
      <c r="D52" s="15"/>
      <c r="E52" s="341"/>
      <c r="F52" s="341"/>
      <c r="G52" s="341"/>
      <c r="H52" s="341"/>
      <c r="I52" s="341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</row>
    <row r="53" spans="1:22" ht="15">
      <c r="A53" s="15"/>
      <c r="B53" s="340"/>
      <c r="C53" s="15"/>
      <c r="D53" s="15"/>
      <c r="E53" s="338"/>
      <c r="F53" s="338"/>
      <c r="G53" s="338"/>
      <c r="H53" s="338"/>
      <c r="I53" s="338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</row>
    <row r="54" spans="1:22" ht="15">
      <c r="A54" s="15"/>
      <c r="B54" s="340"/>
      <c r="C54" s="15"/>
      <c r="D54" s="15"/>
      <c r="E54" s="338"/>
      <c r="F54" s="338"/>
      <c r="G54" s="338"/>
      <c r="H54" s="338"/>
      <c r="I54" s="338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</row>
    <row r="55" spans="1:22" ht="15">
      <c r="A55" s="342"/>
      <c r="B55" s="340"/>
      <c r="C55" s="15"/>
      <c r="D55" s="15"/>
      <c r="E55" s="341"/>
      <c r="F55" s="341"/>
      <c r="G55" s="341"/>
      <c r="H55" s="341"/>
      <c r="I55" s="341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</row>
    <row r="56" spans="1:22" ht="15">
      <c r="A56" s="15"/>
      <c r="B56" s="340"/>
      <c r="C56" s="15"/>
      <c r="D56" s="15"/>
      <c r="E56" s="338"/>
      <c r="F56" s="338"/>
      <c r="G56" s="338"/>
      <c r="H56" s="338"/>
      <c r="I56" s="338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</row>
    <row r="57" spans="1:22" ht="15">
      <c r="A57" s="15"/>
      <c r="B57" s="340"/>
      <c r="C57" s="15"/>
      <c r="D57" s="15"/>
      <c r="E57" s="338"/>
      <c r="F57" s="338"/>
      <c r="G57" s="338"/>
      <c r="H57" s="338"/>
      <c r="I57" s="338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</row>
    <row r="58" spans="1:22" ht="15">
      <c r="A58" s="15"/>
      <c r="B58" s="340"/>
      <c r="C58" s="15"/>
      <c r="D58" s="15"/>
      <c r="E58" s="338"/>
      <c r="F58" s="338"/>
      <c r="G58" s="338"/>
      <c r="H58" s="338"/>
      <c r="I58" s="338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</row>
    <row r="59" spans="1:22" ht="15">
      <c r="A59" s="15"/>
      <c r="B59" s="340"/>
      <c r="C59" s="15"/>
      <c r="D59" s="15"/>
      <c r="E59" s="341"/>
      <c r="F59" s="341"/>
      <c r="G59" s="341"/>
      <c r="H59" s="341"/>
      <c r="I59" s="341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</row>
    <row r="60" spans="1:22" ht="15">
      <c r="A60" s="15"/>
      <c r="B60" s="340"/>
      <c r="C60" s="15"/>
      <c r="D60" s="15"/>
      <c r="E60" s="338"/>
      <c r="F60" s="338"/>
      <c r="G60" s="338"/>
      <c r="H60" s="338"/>
      <c r="I60" s="338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</row>
    <row r="61" spans="1:22" ht="15">
      <c r="A61" s="15"/>
      <c r="B61" s="340"/>
      <c r="C61" s="15"/>
      <c r="D61" s="15"/>
      <c r="E61" s="338"/>
      <c r="F61" s="338"/>
      <c r="G61" s="338"/>
      <c r="H61" s="338"/>
      <c r="I61" s="338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</row>
    <row r="62" spans="1:22" ht="15">
      <c r="A62" s="206"/>
      <c r="B62" s="67"/>
      <c r="C62" s="206"/>
      <c r="D62" s="206"/>
      <c r="E62" s="338"/>
      <c r="F62" s="338"/>
      <c r="G62" s="339"/>
      <c r="H62" s="338"/>
      <c r="I62" s="338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</row>
    <row r="63" spans="1:22" ht="15">
      <c r="A63" s="15"/>
      <c r="B63" s="340"/>
      <c r="C63" s="15"/>
      <c r="D63" s="15"/>
      <c r="E63" s="338"/>
      <c r="F63" s="338"/>
      <c r="G63" s="338"/>
      <c r="H63" s="338"/>
      <c r="I63" s="338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</row>
    <row r="64" spans="1:22" ht="15">
      <c r="A64" s="15"/>
      <c r="B64" s="340"/>
      <c r="C64" s="15"/>
      <c r="D64" s="15"/>
      <c r="E64" s="341"/>
      <c r="F64" s="341"/>
      <c r="G64" s="341"/>
      <c r="H64" s="341"/>
      <c r="I64" s="341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</row>
    <row r="65" spans="1:22" ht="15">
      <c r="A65" s="206"/>
      <c r="B65" s="67"/>
      <c r="C65" s="206"/>
      <c r="D65" s="206"/>
      <c r="E65" s="338"/>
      <c r="F65" s="338"/>
      <c r="G65" s="339"/>
      <c r="H65" s="338"/>
      <c r="I65" s="338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</row>
    <row r="66" spans="1:22" ht="15">
      <c r="A66" s="206"/>
      <c r="B66" s="67"/>
      <c r="C66" s="206"/>
      <c r="D66" s="206"/>
      <c r="E66" s="338"/>
      <c r="F66" s="338"/>
      <c r="G66" s="339"/>
      <c r="H66" s="338"/>
      <c r="I66" s="338"/>
      <c r="J66" s="315"/>
      <c r="K66" s="315"/>
      <c r="L66" s="315"/>
      <c r="M66" s="315"/>
      <c r="N66" s="315"/>
      <c r="O66" s="315"/>
      <c r="P66" s="315"/>
      <c r="Q66" s="315"/>
      <c r="R66" s="315"/>
      <c r="S66" s="315"/>
      <c r="T66" s="315"/>
      <c r="U66" s="315"/>
      <c r="V66" s="315"/>
    </row>
    <row r="67" spans="1:22" ht="15">
      <c r="A67" s="206"/>
      <c r="B67" s="67"/>
      <c r="C67" s="206"/>
      <c r="D67" s="206"/>
      <c r="E67" s="338"/>
      <c r="F67" s="338"/>
      <c r="G67" s="339"/>
      <c r="H67" s="338"/>
      <c r="I67" s="338"/>
      <c r="J67" s="315"/>
      <c r="K67" s="315"/>
      <c r="L67" s="315"/>
      <c r="M67" s="315"/>
      <c r="N67" s="315"/>
      <c r="O67" s="315"/>
      <c r="P67" s="315"/>
      <c r="Q67" s="315"/>
      <c r="R67" s="315"/>
      <c r="S67" s="315"/>
      <c r="T67" s="315"/>
      <c r="U67" s="315"/>
      <c r="V67" s="315"/>
    </row>
    <row r="68" spans="1:22" ht="15">
      <c r="A68" s="206"/>
      <c r="B68" s="67"/>
      <c r="C68" s="206"/>
      <c r="D68" s="206"/>
      <c r="E68" s="338"/>
      <c r="F68" s="338"/>
      <c r="G68" s="339"/>
      <c r="H68" s="338"/>
      <c r="I68" s="338"/>
      <c r="J68" s="315"/>
      <c r="K68" s="315"/>
      <c r="L68" s="315"/>
      <c r="M68" s="315"/>
      <c r="N68" s="315"/>
      <c r="O68" s="315"/>
      <c r="P68" s="315"/>
      <c r="Q68" s="315"/>
      <c r="R68" s="315"/>
      <c r="S68" s="315"/>
      <c r="T68" s="315"/>
      <c r="U68" s="315"/>
      <c r="V68" s="315"/>
    </row>
    <row r="69" spans="1:22" ht="15">
      <c r="A69" s="206"/>
      <c r="B69" s="67"/>
      <c r="C69" s="206"/>
      <c r="D69" s="206"/>
      <c r="E69" s="338"/>
      <c r="F69" s="338"/>
      <c r="G69" s="339"/>
      <c r="H69" s="338"/>
      <c r="I69" s="338"/>
      <c r="J69" s="315"/>
      <c r="K69" s="315"/>
      <c r="L69" s="315"/>
      <c r="M69" s="315"/>
      <c r="N69" s="315"/>
      <c r="O69" s="315"/>
      <c r="P69" s="315"/>
      <c r="Q69" s="315"/>
      <c r="R69" s="315"/>
      <c r="S69" s="315"/>
      <c r="T69" s="315"/>
      <c r="U69" s="315"/>
      <c r="V69" s="315"/>
    </row>
    <row r="70" spans="1:22" ht="15">
      <c r="A70" s="206"/>
      <c r="B70" s="67"/>
      <c r="C70" s="206"/>
      <c r="D70" s="206"/>
      <c r="E70" s="338"/>
      <c r="F70" s="338"/>
      <c r="G70" s="339"/>
      <c r="H70" s="338"/>
      <c r="I70" s="338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U70" s="315"/>
      <c r="V70" s="315"/>
    </row>
    <row r="71" spans="1:22" ht="15">
      <c r="A71" s="15"/>
      <c r="B71" s="340"/>
      <c r="C71" s="15"/>
      <c r="D71" s="15"/>
      <c r="E71" s="343"/>
      <c r="F71" s="343"/>
      <c r="G71" s="343"/>
      <c r="H71" s="343"/>
      <c r="I71" s="343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</row>
    <row r="72" spans="1:22" ht="15">
      <c r="A72" s="15"/>
      <c r="B72" s="340"/>
      <c r="C72" s="15"/>
      <c r="D72" s="15"/>
      <c r="E72" s="341"/>
      <c r="F72" s="341"/>
      <c r="G72" s="341"/>
      <c r="H72" s="341"/>
      <c r="I72" s="341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</row>
    <row r="73" spans="1:22" ht="15">
      <c r="A73" s="206"/>
      <c r="B73" s="67"/>
      <c r="C73" s="206"/>
      <c r="D73" s="206"/>
      <c r="E73" s="338"/>
      <c r="F73" s="338"/>
      <c r="G73" s="338"/>
      <c r="H73" s="338"/>
      <c r="I73" s="338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</row>
    <row r="74" spans="1:22" ht="15">
      <c r="A74" s="206"/>
      <c r="B74" s="67"/>
      <c r="C74" s="206"/>
      <c r="D74" s="206"/>
      <c r="E74" s="338"/>
      <c r="F74" s="338"/>
      <c r="G74" s="338"/>
      <c r="H74" s="338"/>
      <c r="I74" s="338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</row>
    <row r="75" spans="1:22" ht="15">
      <c r="A75" s="206"/>
      <c r="B75" s="67"/>
      <c r="C75" s="206"/>
      <c r="D75" s="206"/>
      <c r="E75" s="338"/>
      <c r="F75" s="338"/>
      <c r="G75" s="338"/>
      <c r="H75" s="338"/>
      <c r="I75" s="338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</row>
    <row r="76" spans="1:22" ht="15">
      <c r="A76" s="206"/>
      <c r="B76" s="67"/>
      <c r="C76" s="206"/>
      <c r="D76" s="206"/>
      <c r="E76" s="338"/>
      <c r="F76" s="338"/>
      <c r="G76" s="338"/>
      <c r="H76" s="338"/>
      <c r="I76" s="338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315"/>
      <c r="V76" s="315"/>
    </row>
    <row r="77" spans="1:22" ht="15">
      <c r="A77" s="206"/>
      <c r="B77" s="67"/>
      <c r="C77" s="206"/>
      <c r="D77" s="206"/>
      <c r="E77" s="338"/>
      <c r="F77" s="338"/>
      <c r="G77" s="338"/>
      <c r="H77" s="338"/>
      <c r="I77" s="338"/>
      <c r="J77" s="315"/>
      <c r="K77" s="315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</row>
    <row r="78" spans="1:22" ht="15">
      <c r="A78" s="206"/>
      <c r="B78" s="67"/>
      <c r="C78" s="206"/>
      <c r="D78" s="206"/>
      <c r="E78" s="338"/>
      <c r="F78" s="338"/>
      <c r="G78" s="338"/>
      <c r="H78" s="338"/>
      <c r="I78" s="338"/>
      <c r="J78" s="315"/>
      <c r="K78" s="315"/>
      <c r="L78" s="315"/>
      <c r="M78" s="315"/>
      <c r="N78" s="315"/>
      <c r="O78" s="315"/>
      <c r="P78" s="315"/>
      <c r="Q78" s="315"/>
      <c r="R78" s="315"/>
      <c r="S78" s="315"/>
      <c r="T78" s="315"/>
      <c r="U78" s="315"/>
      <c r="V78" s="315"/>
    </row>
    <row r="79" spans="1:22" ht="15">
      <c r="A79" s="344"/>
      <c r="B79" s="67"/>
      <c r="C79" s="206"/>
      <c r="D79" s="206"/>
      <c r="E79" s="338"/>
      <c r="F79" s="338"/>
      <c r="G79" s="338"/>
      <c r="H79" s="338"/>
      <c r="I79" s="338"/>
      <c r="J79" s="315"/>
      <c r="K79" s="315"/>
      <c r="L79" s="315"/>
      <c r="M79" s="315"/>
      <c r="N79" s="315"/>
      <c r="O79" s="315"/>
      <c r="P79" s="315"/>
      <c r="Q79" s="315"/>
      <c r="R79" s="315"/>
      <c r="S79" s="315"/>
      <c r="T79" s="315"/>
      <c r="U79" s="315"/>
      <c r="V79" s="315"/>
    </row>
    <row r="80" spans="1:22" ht="15">
      <c r="A80" s="206"/>
      <c r="B80" s="67"/>
      <c r="C80" s="206"/>
      <c r="D80" s="206"/>
      <c r="E80" s="338"/>
      <c r="F80" s="338"/>
      <c r="G80" s="338"/>
      <c r="H80" s="338"/>
      <c r="I80" s="338"/>
      <c r="J80" s="315"/>
      <c r="K80" s="315"/>
      <c r="L80" s="315"/>
      <c r="M80" s="315"/>
      <c r="N80" s="315"/>
      <c r="O80" s="315"/>
      <c r="P80" s="315"/>
      <c r="Q80" s="315"/>
      <c r="R80" s="315"/>
      <c r="S80" s="315"/>
      <c r="T80" s="315"/>
      <c r="U80" s="315"/>
      <c r="V80" s="315"/>
    </row>
    <row r="81" spans="1:22" ht="15">
      <c r="A81" s="15"/>
      <c r="B81" s="340"/>
      <c r="C81" s="15"/>
      <c r="D81" s="15"/>
      <c r="E81" s="341"/>
      <c r="F81" s="341"/>
      <c r="G81" s="341"/>
      <c r="H81" s="341"/>
      <c r="I81" s="341"/>
      <c r="J81" s="315"/>
      <c r="K81" s="315"/>
      <c r="L81" s="315"/>
      <c r="M81" s="315"/>
      <c r="N81" s="315"/>
      <c r="O81" s="315"/>
      <c r="P81" s="315"/>
      <c r="Q81" s="315"/>
      <c r="R81" s="315"/>
      <c r="S81" s="315"/>
      <c r="T81" s="315"/>
      <c r="U81" s="315"/>
      <c r="V81" s="315"/>
    </row>
    <row r="82" spans="1:22" ht="15">
      <c r="A82" s="15"/>
      <c r="B82" s="340"/>
      <c r="C82" s="15"/>
      <c r="D82" s="15"/>
      <c r="E82" s="341"/>
      <c r="F82" s="341"/>
      <c r="G82" s="341"/>
      <c r="H82" s="341"/>
      <c r="I82" s="341"/>
      <c r="J82" s="315"/>
      <c r="K82" s="315"/>
      <c r="L82" s="315"/>
      <c r="M82" s="315"/>
      <c r="N82" s="315"/>
      <c r="O82" s="315"/>
      <c r="P82" s="315"/>
      <c r="Q82" s="315"/>
      <c r="R82" s="315"/>
      <c r="S82" s="315"/>
      <c r="T82" s="315"/>
      <c r="U82" s="315"/>
      <c r="V82" s="315"/>
    </row>
    <row r="83" spans="1:22" ht="15">
      <c r="A83" s="206"/>
      <c r="B83" s="67"/>
      <c r="C83" s="206"/>
      <c r="D83" s="206"/>
      <c r="E83" s="338"/>
      <c r="F83" s="338"/>
      <c r="G83" s="339"/>
      <c r="H83" s="338"/>
      <c r="I83" s="338"/>
      <c r="J83" s="315"/>
      <c r="K83" s="315"/>
      <c r="L83" s="315"/>
      <c r="M83" s="315"/>
      <c r="N83" s="315"/>
      <c r="O83" s="315"/>
      <c r="P83" s="315"/>
      <c r="Q83" s="315"/>
      <c r="R83" s="315"/>
      <c r="S83" s="315"/>
      <c r="T83" s="315"/>
      <c r="U83" s="315"/>
      <c r="V83" s="315"/>
    </row>
    <row r="84" spans="1:22" ht="15">
      <c r="A84" s="206"/>
      <c r="B84" s="67"/>
      <c r="C84" s="206"/>
      <c r="D84" s="206"/>
      <c r="E84" s="338"/>
      <c r="F84" s="338"/>
      <c r="G84" s="339"/>
      <c r="H84" s="338"/>
      <c r="I84" s="338"/>
      <c r="J84" s="315"/>
      <c r="K84" s="315"/>
      <c r="L84" s="315"/>
      <c r="M84" s="315"/>
      <c r="N84" s="315"/>
      <c r="O84" s="315"/>
      <c r="P84" s="315"/>
      <c r="Q84" s="315"/>
      <c r="R84" s="315"/>
      <c r="S84" s="315"/>
      <c r="T84" s="315"/>
      <c r="U84" s="315"/>
      <c r="V84" s="315"/>
    </row>
    <row r="85" spans="1:22" ht="15">
      <c r="A85" s="206"/>
      <c r="B85" s="67"/>
      <c r="C85" s="206"/>
      <c r="D85" s="206"/>
      <c r="E85" s="338"/>
      <c r="F85" s="338"/>
      <c r="G85" s="339"/>
      <c r="H85" s="338"/>
      <c r="I85" s="338"/>
      <c r="J85" s="315"/>
      <c r="K85" s="315"/>
      <c r="L85" s="315"/>
      <c r="M85" s="315"/>
      <c r="N85" s="315"/>
      <c r="O85" s="315"/>
      <c r="P85" s="315"/>
      <c r="Q85" s="315"/>
      <c r="R85" s="315"/>
      <c r="S85" s="315"/>
      <c r="T85" s="315"/>
      <c r="U85" s="315"/>
      <c r="V85" s="315"/>
    </row>
    <row r="86" spans="1:22" ht="15">
      <c r="A86" s="206"/>
      <c r="B86" s="67"/>
      <c r="C86" s="206"/>
      <c r="D86" s="206"/>
      <c r="E86" s="338"/>
      <c r="F86" s="338"/>
      <c r="G86" s="339"/>
      <c r="H86" s="338"/>
      <c r="I86" s="338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</row>
    <row r="87" spans="1:22" ht="15">
      <c r="A87" s="206"/>
      <c r="B87" s="67"/>
      <c r="C87" s="206"/>
      <c r="D87" s="206"/>
      <c r="E87" s="338"/>
      <c r="F87" s="338"/>
      <c r="G87" s="339"/>
      <c r="H87" s="338"/>
      <c r="I87" s="338"/>
      <c r="J87" s="315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</row>
    <row r="88" spans="1:22" ht="15">
      <c r="A88" s="206"/>
      <c r="B88" s="67"/>
      <c r="C88" s="206"/>
      <c r="D88" s="206"/>
      <c r="E88" s="338"/>
      <c r="F88" s="338"/>
      <c r="G88" s="339"/>
      <c r="H88" s="338"/>
      <c r="I88" s="338"/>
      <c r="J88" s="315"/>
      <c r="K88" s="315"/>
      <c r="L88" s="315"/>
      <c r="M88" s="315"/>
      <c r="N88" s="315"/>
      <c r="O88" s="315"/>
      <c r="P88" s="315"/>
      <c r="Q88" s="315"/>
      <c r="R88" s="315"/>
      <c r="S88" s="315"/>
      <c r="T88" s="315"/>
      <c r="U88" s="315"/>
      <c r="V88" s="315"/>
    </row>
    <row r="89" spans="1:22" ht="15">
      <c r="A89" s="206"/>
      <c r="B89" s="67"/>
      <c r="C89" s="206"/>
      <c r="D89" s="206"/>
      <c r="E89" s="338"/>
      <c r="F89" s="338"/>
      <c r="G89" s="339"/>
      <c r="H89" s="338"/>
      <c r="I89" s="338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</row>
    <row r="90" spans="1:22" ht="15">
      <c r="A90" s="15"/>
      <c r="B90" s="340"/>
      <c r="C90" s="15"/>
      <c r="D90" s="15"/>
      <c r="E90" s="343"/>
      <c r="F90" s="343"/>
      <c r="G90" s="343"/>
      <c r="H90" s="343"/>
      <c r="I90" s="343"/>
      <c r="J90" s="315"/>
      <c r="K90" s="315"/>
      <c r="L90" s="315"/>
      <c r="M90" s="315"/>
      <c r="N90" s="315"/>
      <c r="O90" s="315"/>
      <c r="P90" s="315"/>
      <c r="Q90" s="315"/>
      <c r="R90" s="315"/>
      <c r="S90" s="315"/>
      <c r="T90" s="315"/>
      <c r="U90" s="315"/>
      <c r="V90" s="315"/>
    </row>
    <row r="91" spans="1:22" ht="12.75">
      <c r="A91" s="315"/>
      <c r="B91" s="315"/>
      <c r="C91" s="315"/>
      <c r="D91" s="315"/>
      <c r="E91" s="315"/>
      <c r="F91" s="315"/>
      <c r="G91" s="315"/>
      <c r="H91" s="315"/>
      <c r="I91" s="315"/>
      <c r="J91" s="315"/>
      <c r="K91" s="315"/>
      <c r="L91" s="315"/>
      <c r="M91" s="315"/>
      <c r="N91" s="315"/>
      <c r="O91" s="315"/>
      <c r="P91" s="315"/>
      <c r="Q91" s="315"/>
      <c r="R91" s="315"/>
      <c r="S91" s="315"/>
      <c r="T91" s="315"/>
      <c r="U91" s="315"/>
      <c r="V91" s="315"/>
    </row>
    <row r="92" spans="1:22" ht="12.75">
      <c r="A92" s="315"/>
      <c r="B92" s="315"/>
      <c r="C92" s="315"/>
      <c r="D92" s="315"/>
      <c r="E92" s="315"/>
      <c r="F92" s="315"/>
      <c r="G92" s="315"/>
      <c r="H92" s="315"/>
      <c r="I92" s="315"/>
      <c r="J92" s="315"/>
      <c r="K92" s="315"/>
      <c r="L92" s="315"/>
      <c r="M92" s="315"/>
      <c r="N92" s="315"/>
      <c r="O92" s="315"/>
      <c r="P92" s="315"/>
      <c r="Q92" s="315"/>
      <c r="R92" s="315"/>
      <c r="S92" s="315"/>
      <c r="T92" s="315"/>
      <c r="U92" s="315"/>
      <c r="V92" s="315"/>
    </row>
    <row r="93" spans="1:22" ht="12.75">
      <c r="A93" s="315"/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315"/>
      <c r="P93" s="315"/>
      <c r="Q93" s="315"/>
      <c r="R93" s="315"/>
      <c r="S93" s="315"/>
      <c r="T93" s="315"/>
      <c r="U93" s="315"/>
      <c r="V93" s="315"/>
    </row>
    <row r="94" spans="1:22" ht="12.75">
      <c r="A94" s="315"/>
      <c r="B94" s="315"/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5"/>
      <c r="U94" s="315"/>
      <c r="V94" s="315"/>
    </row>
    <row r="95" spans="1:22" ht="12.75">
      <c r="A95" s="315"/>
      <c r="B95" s="315"/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  <c r="V95" s="315"/>
    </row>
    <row r="96" spans="1:22" ht="12.75">
      <c r="A96" s="315"/>
      <c r="B96" s="315"/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  <c r="N96" s="315"/>
      <c r="O96" s="315"/>
      <c r="P96" s="315"/>
      <c r="Q96" s="315"/>
      <c r="R96" s="315"/>
      <c r="S96" s="315"/>
      <c r="T96" s="315"/>
      <c r="U96" s="315"/>
      <c r="V96" s="315"/>
    </row>
    <row r="97" spans="1:22" ht="12.75">
      <c r="A97" s="315"/>
      <c r="B97" s="315"/>
      <c r="C97" s="315"/>
      <c r="D97" s="315"/>
      <c r="E97" s="315"/>
      <c r="F97" s="315"/>
      <c r="G97" s="315"/>
      <c r="H97" s="315"/>
      <c r="I97" s="315"/>
      <c r="J97" s="315"/>
      <c r="K97" s="315"/>
      <c r="L97" s="315"/>
      <c r="M97" s="315"/>
      <c r="N97" s="315"/>
      <c r="O97" s="315"/>
      <c r="P97" s="315"/>
      <c r="Q97" s="315"/>
      <c r="R97" s="315"/>
      <c r="S97" s="315"/>
      <c r="T97" s="315"/>
      <c r="U97" s="315"/>
      <c r="V97" s="315"/>
    </row>
    <row r="98" spans="1:22" ht="12.75">
      <c r="A98" s="315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</row>
    <row r="99" spans="1:22" ht="12.75">
      <c r="A99" s="315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</row>
    <row r="100" spans="1:22" ht="12.75">
      <c r="A100" s="315"/>
      <c r="B100" s="315"/>
      <c r="C100" s="315"/>
      <c r="D100" s="315"/>
      <c r="E100" s="315"/>
      <c r="F100" s="315"/>
      <c r="G100" s="315"/>
      <c r="H100" s="315"/>
      <c r="I100" s="315"/>
      <c r="J100" s="315"/>
      <c r="K100" s="315"/>
      <c r="L100" s="315"/>
      <c r="M100" s="315"/>
      <c r="N100" s="315"/>
      <c r="O100" s="315"/>
      <c r="P100" s="315"/>
      <c r="Q100" s="315"/>
      <c r="R100" s="315"/>
      <c r="S100" s="315"/>
      <c r="T100" s="315"/>
      <c r="U100" s="315"/>
      <c r="V100" s="315"/>
    </row>
    <row r="101" spans="1:22" ht="12.75">
      <c r="A101" s="315"/>
      <c r="B101" s="315"/>
      <c r="C101" s="315"/>
      <c r="D101" s="315"/>
      <c r="E101" s="315"/>
      <c r="F101" s="315"/>
      <c r="G101" s="315"/>
      <c r="H101" s="315"/>
      <c r="I101" s="315"/>
      <c r="J101" s="315"/>
      <c r="K101" s="315"/>
      <c r="L101" s="315"/>
      <c r="M101" s="315"/>
      <c r="N101" s="315"/>
      <c r="O101" s="315"/>
      <c r="P101" s="315"/>
      <c r="Q101" s="315"/>
      <c r="R101" s="315"/>
      <c r="S101" s="315"/>
      <c r="T101" s="315"/>
      <c r="U101" s="315"/>
      <c r="V101" s="315"/>
    </row>
  </sheetData>
  <sheetProtection selectLockedCells="1" selectUnlockedCells="1"/>
  <mergeCells count="24">
    <mergeCell ref="A18:K18"/>
    <mergeCell ref="A21:A22"/>
    <mergeCell ref="B21:B22"/>
    <mergeCell ref="C21:C22"/>
    <mergeCell ref="D9:D10"/>
    <mergeCell ref="E9:E10"/>
    <mergeCell ref="F9:J9"/>
    <mergeCell ref="K9:K10"/>
    <mergeCell ref="A24:A25"/>
    <mergeCell ref="B24:B25"/>
    <mergeCell ref="C24:C25"/>
    <mergeCell ref="A12:A13"/>
    <mergeCell ref="B12:B13"/>
    <mergeCell ref="C12:C13"/>
    <mergeCell ref="D21:D22"/>
    <mergeCell ref="E21:E22"/>
    <mergeCell ref="F21:J21"/>
    <mergeCell ref="K21:K22"/>
    <mergeCell ref="B2:F2"/>
    <mergeCell ref="B3:F3"/>
    <mergeCell ref="A6:K6"/>
    <mergeCell ref="A9:A10"/>
    <mergeCell ref="B9:B10"/>
    <mergeCell ref="C9:C10"/>
  </mergeCells>
  <printOptions/>
  <pageMargins left="0.7875" right="0.5902777777777778" top="0.5902777777777778" bottom="0.5902777777777778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IV77"/>
  <sheetViews>
    <sheetView zoomScalePageLayoutView="0" workbookViewId="0" topLeftCell="A1">
      <selection activeCell="G73" sqref="G73"/>
    </sheetView>
  </sheetViews>
  <sheetFormatPr defaultColWidth="9.50390625" defaultRowHeight="12.75"/>
  <cols>
    <col min="1" max="1" width="11.50390625" style="13" customWidth="1"/>
    <col min="2" max="2" width="43.50390625" style="13" customWidth="1"/>
    <col min="3" max="3" width="34.50390625" style="13" customWidth="1"/>
    <col min="4" max="4" width="6.50390625" style="13" customWidth="1"/>
    <col min="5" max="5" width="5.50390625" style="13" customWidth="1"/>
    <col min="6" max="6" width="6.50390625" style="13" customWidth="1"/>
    <col min="7" max="16384" width="9.50390625" style="13" customWidth="1"/>
  </cols>
  <sheetData>
    <row r="1" spans="1:5" ht="8.25" customHeight="1">
      <c r="A1" s="354"/>
      <c r="B1" s="354"/>
      <c r="C1" s="354"/>
      <c r="D1" s="354"/>
      <c r="E1" s="14"/>
    </row>
    <row r="2" spans="1:5" ht="15" hidden="1">
      <c r="A2" s="354"/>
      <c r="B2" s="354"/>
      <c r="C2" s="354"/>
      <c r="D2" s="354"/>
      <c r="E2" s="14"/>
    </row>
    <row r="3" spans="1:5" s="5" customFormat="1" ht="15" customHeight="1" hidden="1">
      <c r="A3" s="355"/>
      <c r="B3" s="355"/>
      <c r="C3" s="355"/>
      <c r="D3" s="355"/>
      <c r="E3" s="8"/>
    </row>
    <row r="4" spans="1:5" ht="6.75" customHeight="1">
      <c r="A4" s="14"/>
      <c r="B4" s="14"/>
      <c r="C4" s="14"/>
      <c r="D4" s="14"/>
      <c r="E4" s="14"/>
    </row>
    <row r="5" spans="1:5" ht="15">
      <c r="A5" s="15"/>
      <c r="B5" s="356"/>
      <c r="C5" s="356"/>
      <c r="D5" s="14"/>
      <c r="E5" s="14"/>
    </row>
    <row r="6" spans="1:5" ht="18.75" customHeight="1">
      <c r="A6" s="357" t="s">
        <v>24</v>
      </c>
      <c r="B6" s="357"/>
      <c r="C6" s="357"/>
      <c r="D6" s="357"/>
      <c r="E6" s="14"/>
    </row>
    <row r="7" spans="1:5" ht="12.75" customHeight="1">
      <c r="A7" s="16"/>
      <c r="B7" s="358" t="s">
        <v>25</v>
      </c>
      <c r="C7" s="358"/>
      <c r="D7" s="14"/>
      <c r="E7" s="14"/>
    </row>
    <row r="8" spans="1:5" ht="17.25">
      <c r="A8" s="17"/>
      <c r="B8" s="17"/>
      <c r="C8" s="17"/>
      <c r="D8" s="14"/>
      <c r="E8" s="14"/>
    </row>
    <row r="9" spans="1:5" ht="15">
      <c r="A9" s="18"/>
      <c r="D9" s="14"/>
      <c r="E9" s="14"/>
    </row>
    <row r="10" spans="1:5" ht="17.25">
      <c r="A10" s="19" t="s">
        <v>4</v>
      </c>
      <c r="B10" s="361" t="s">
        <v>5</v>
      </c>
      <c r="C10" s="361"/>
      <c r="D10" s="14"/>
      <c r="E10" s="14"/>
    </row>
    <row r="11" spans="1:5" ht="15">
      <c r="A11" s="20"/>
      <c r="B11" s="21"/>
      <c r="C11" s="22"/>
      <c r="D11" s="14"/>
      <c r="E11" s="14"/>
    </row>
    <row r="12" spans="1:5" ht="12.75" customHeight="1">
      <c r="A12" s="23"/>
      <c r="B12" s="362" t="s">
        <v>26</v>
      </c>
      <c r="C12" s="362"/>
      <c r="D12" s="14"/>
      <c r="E12" s="14"/>
    </row>
    <row r="13" spans="1:5" ht="42.75" customHeight="1">
      <c r="A13" s="24"/>
      <c r="B13" s="363" t="s">
        <v>1</v>
      </c>
      <c r="C13" s="363"/>
      <c r="D13" s="14"/>
      <c r="E13" s="14"/>
    </row>
    <row r="14" spans="1:5" ht="15">
      <c r="A14" s="26"/>
      <c r="B14" s="359" t="s">
        <v>27</v>
      </c>
      <c r="C14" s="359"/>
      <c r="D14" s="14"/>
      <c r="E14" s="14"/>
    </row>
    <row r="15" spans="1:5" ht="48" customHeight="1">
      <c r="A15" s="27"/>
      <c r="B15" s="363" t="s">
        <v>28</v>
      </c>
      <c r="C15" s="363"/>
      <c r="D15" s="14"/>
      <c r="E15" s="14"/>
    </row>
    <row r="16" spans="1:5" ht="46.5">
      <c r="A16" s="23"/>
      <c r="B16" s="28" t="s">
        <v>29</v>
      </c>
      <c r="C16" s="25" t="s">
        <v>30</v>
      </c>
      <c r="D16" s="14"/>
      <c r="E16" s="14"/>
    </row>
    <row r="17" spans="1:5" ht="30.75">
      <c r="A17" s="23"/>
      <c r="B17" s="29" t="s">
        <v>31</v>
      </c>
      <c r="C17" s="30" t="s">
        <v>32</v>
      </c>
      <c r="D17" s="14"/>
      <c r="E17" s="14"/>
    </row>
    <row r="18" spans="1:5" ht="30.75">
      <c r="A18" s="23"/>
      <c r="B18" s="29" t="s">
        <v>33</v>
      </c>
      <c r="C18" s="30" t="s">
        <v>32</v>
      </c>
      <c r="D18" s="14"/>
      <c r="E18" s="14"/>
    </row>
    <row r="19" spans="1:5" ht="15">
      <c r="A19" s="23"/>
      <c r="B19" s="29" t="s">
        <v>34</v>
      </c>
      <c r="C19" s="31" t="s">
        <v>35</v>
      </c>
      <c r="D19" s="14"/>
      <c r="E19" s="14"/>
    </row>
    <row r="20" spans="1:5" ht="15">
      <c r="A20" s="26"/>
      <c r="B20" s="29" t="s">
        <v>36</v>
      </c>
      <c r="C20" s="32" t="s">
        <v>37</v>
      </c>
      <c r="D20" s="14"/>
      <c r="E20" s="14"/>
    </row>
    <row r="21" spans="1:5" ht="30.75">
      <c r="A21" s="23"/>
      <c r="B21" s="29" t="s">
        <v>38</v>
      </c>
      <c r="C21" s="33" t="s">
        <v>39</v>
      </c>
      <c r="D21" s="14"/>
      <c r="E21" s="14"/>
    </row>
    <row r="22" spans="1:5" ht="15">
      <c r="A22" s="23"/>
      <c r="B22" s="29" t="s">
        <v>40</v>
      </c>
      <c r="C22" s="30" t="s">
        <v>41</v>
      </c>
      <c r="D22" s="14"/>
      <c r="E22" s="14"/>
    </row>
    <row r="23" spans="1:5" ht="15">
      <c r="A23" s="23"/>
      <c r="B23" s="29" t="s">
        <v>42</v>
      </c>
      <c r="C23" s="30" t="s">
        <v>43</v>
      </c>
      <c r="D23" s="14"/>
      <c r="E23" s="14"/>
    </row>
    <row r="24" spans="1:5" ht="15">
      <c r="A24" s="23"/>
      <c r="B24" s="29" t="s">
        <v>44</v>
      </c>
      <c r="C24" s="30" t="s">
        <v>45</v>
      </c>
      <c r="D24" s="14"/>
      <c r="E24" s="14"/>
    </row>
    <row r="25" spans="1:5" ht="15">
      <c r="A25" s="23"/>
      <c r="B25" s="29" t="s">
        <v>46</v>
      </c>
      <c r="C25" s="30" t="s">
        <v>47</v>
      </c>
      <c r="D25" s="14"/>
      <c r="E25" s="14"/>
    </row>
    <row r="26" spans="1:5" ht="15">
      <c r="A26" s="23"/>
      <c r="B26" s="29" t="s">
        <v>48</v>
      </c>
      <c r="C26" s="30" t="s">
        <v>49</v>
      </c>
      <c r="D26" s="14"/>
      <c r="E26" s="14"/>
    </row>
    <row r="27" spans="1:5" ht="15">
      <c r="A27" s="23"/>
      <c r="B27" s="29" t="s">
        <v>46</v>
      </c>
      <c r="C27" s="30" t="s">
        <v>50</v>
      </c>
      <c r="D27" s="14"/>
      <c r="E27" s="14"/>
    </row>
    <row r="28" spans="1:5" ht="15">
      <c r="A28" s="26"/>
      <c r="B28" s="29" t="s">
        <v>51</v>
      </c>
      <c r="C28" s="34">
        <v>40118</v>
      </c>
      <c r="D28" s="14"/>
      <c r="E28" s="14"/>
    </row>
    <row r="29" spans="1:5" ht="15">
      <c r="A29" s="26"/>
      <c r="B29" s="29" t="s">
        <v>52</v>
      </c>
      <c r="C29" s="35">
        <v>602</v>
      </c>
      <c r="D29" s="14"/>
      <c r="E29" s="14"/>
    </row>
    <row r="30" spans="1:5" ht="15">
      <c r="A30" s="353"/>
      <c r="B30" s="353"/>
      <c r="C30" s="353"/>
      <c r="D30" s="14"/>
      <c r="E30" s="14"/>
    </row>
    <row r="31" spans="1:5" ht="15">
      <c r="A31" s="36"/>
      <c r="B31" s="359" t="s">
        <v>53</v>
      </c>
      <c r="C31" s="359"/>
      <c r="D31" s="14"/>
      <c r="E31" s="14"/>
    </row>
    <row r="32" spans="1:5" ht="15">
      <c r="A32" s="27"/>
      <c r="B32" s="37" t="s">
        <v>54</v>
      </c>
      <c r="C32" s="30" t="s">
        <v>55</v>
      </c>
      <c r="D32" s="14"/>
      <c r="E32" s="14"/>
    </row>
    <row r="33" spans="1:5" ht="30.75">
      <c r="A33" s="27"/>
      <c r="B33" s="38" t="s">
        <v>56</v>
      </c>
      <c r="C33" s="39">
        <v>1095105001067</v>
      </c>
      <c r="D33" s="14"/>
      <c r="E33" s="14"/>
    </row>
    <row r="34" spans="1:5" ht="30.75">
      <c r="A34" s="40"/>
      <c r="B34" s="38" t="s">
        <v>57</v>
      </c>
      <c r="C34" s="41">
        <v>5112021086</v>
      </c>
      <c r="D34" s="14"/>
      <c r="E34" s="14"/>
    </row>
    <row r="35" spans="1:5" ht="188.25" customHeight="1">
      <c r="A35" s="40"/>
      <c r="B35" s="25" t="s">
        <v>58</v>
      </c>
      <c r="C35" s="30" t="s">
        <v>59</v>
      </c>
      <c r="D35" s="14"/>
      <c r="E35" s="14"/>
    </row>
    <row r="36" spans="1:5" ht="49.5" customHeight="1">
      <c r="A36" s="40"/>
      <c r="B36" s="38" t="s">
        <v>60</v>
      </c>
      <c r="C36" s="42" t="s">
        <v>39</v>
      </c>
      <c r="D36" s="14"/>
      <c r="E36" s="14"/>
    </row>
    <row r="37" spans="1:5" ht="62.25">
      <c r="A37" s="40"/>
      <c r="B37" s="25" t="s">
        <v>61</v>
      </c>
      <c r="C37" s="42" t="s">
        <v>39</v>
      </c>
      <c r="D37" s="14"/>
      <c r="E37" s="14"/>
    </row>
    <row r="38" spans="1:5" ht="15">
      <c r="A38" s="43"/>
      <c r="B38" s="38"/>
      <c r="C38" s="42"/>
      <c r="D38" s="14"/>
      <c r="E38" s="14"/>
    </row>
    <row r="39" spans="1:5" ht="12.75" customHeight="1">
      <c r="A39" s="44"/>
      <c r="B39" s="360" t="s">
        <v>62</v>
      </c>
      <c r="C39" s="360"/>
      <c r="D39" s="14"/>
      <c r="E39" s="14"/>
    </row>
    <row r="40" spans="1:5" ht="15">
      <c r="A40" s="27"/>
      <c r="B40" s="38" t="s">
        <v>63</v>
      </c>
      <c r="C40" s="35" t="s">
        <v>64</v>
      </c>
      <c r="D40" s="14"/>
      <c r="E40" s="14"/>
    </row>
    <row r="41" spans="1:5" ht="15">
      <c r="A41" s="27"/>
      <c r="B41" s="37" t="s">
        <v>65</v>
      </c>
      <c r="C41" s="35" t="s">
        <v>64</v>
      </c>
      <c r="D41" s="14"/>
      <c r="E41" s="14"/>
    </row>
    <row r="42" spans="1:5" ht="15">
      <c r="A42" s="27"/>
      <c r="B42" s="37" t="s">
        <v>66</v>
      </c>
      <c r="C42" s="45" t="s">
        <v>64</v>
      </c>
      <c r="D42" s="14"/>
      <c r="E42" s="14"/>
    </row>
    <row r="43" spans="1:5" ht="15">
      <c r="A43" s="40"/>
      <c r="B43" s="25" t="s">
        <v>34</v>
      </c>
      <c r="C43" s="45" t="s">
        <v>64</v>
      </c>
      <c r="D43" s="14"/>
      <c r="E43" s="14"/>
    </row>
    <row r="44" spans="1:5" ht="15">
      <c r="A44" s="40"/>
      <c r="B44" s="25" t="s">
        <v>36</v>
      </c>
      <c r="C44" s="45" t="s">
        <v>64</v>
      </c>
      <c r="D44" s="14"/>
      <c r="E44" s="14"/>
    </row>
    <row r="45" spans="1:5" ht="15">
      <c r="A45" s="40"/>
      <c r="B45" s="25" t="s">
        <v>67</v>
      </c>
      <c r="C45" s="45" t="s">
        <v>64</v>
      </c>
      <c r="D45" s="14"/>
      <c r="E45" s="14"/>
    </row>
    <row r="46" spans="1:5" ht="30.75">
      <c r="A46" s="43"/>
      <c r="B46" s="25" t="s">
        <v>68</v>
      </c>
      <c r="C46" s="45" t="s">
        <v>64</v>
      </c>
      <c r="D46" s="14"/>
      <c r="E46" s="14"/>
    </row>
    <row r="47" spans="1:5" ht="30.75">
      <c r="A47" s="46"/>
      <c r="B47" s="25" t="s">
        <v>69</v>
      </c>
      <c r="C47" s="47" t="s">
        <v>64</v>
      </c>
      <c r="D47" s="14"/>
      <c r="E47" s="14"/>
    </row>
    <row r="48" spans="1:3" ht="15">
      <c r="A48" s="48"/>
      <c r="B48" s="49"/>
      <c r="C48" s="48"/>
    </row>
    <row r="49" spans="1:3" ht="15">
      <c r="A49" s="50"/>
      <c r="B49" s="359" t="s">
        <v>70</v>
      </c>
      <c r="C49" s="359"/>
    </row>
    <row r="50" spans="1:3" ht="15">
      <c r="A50" s="51"/>
      <c r="B50" s="38" t="s">
        <v>71</v>
      </c>
      <c r="C50" s="52" t="s">
        <v>64</v>
      </c>
    </row>
    <row r="51" spans="1:3" ht="46.5">
      <c r="A51" s="51"/>
      <c r="B51" s="38" t="s">
        <v>72</v>
      </c>
      <c r="C51" s="52" t="s">
        <v>64</v>
      </c>
    </row>
    <row r="52" spans="1:3" ht="15">
      <c r="A52" s="51"/>
      <c r="B52" s="38" t="s">
        <v>73</v>
      </c>
      <c r="C52" s="52" t="s">
        <v>64</v>
      </c>
    </row>
    <row r="53" spans="1:3" ht="15">
      <c r="A53" s="51"/>
      <c r="B53" s="38" t="s">
        <v>74</v>
      </c>
      <c r="C53" s="52" t="s">
        <v>64</v>
      </c>
    </row>
    <row r="54" spans="1:3" ht="15">
      <c r="A54" s="51"/>
      <c r="B54" s="38" t="s">
        <v>75</v>
      </c>
      <c r="C54" s="52" t="s">
        <v>64</v>
      </c>
    </row>
    <row r="55" spans="1:3" ht="46.5">
      <c r="A55" s="51"/>
      <c r="B55" s="38" t="s">
        <v>76</v>
      </c>
      <c r="C55" s="52" t="s">
        <v>64</v>
      </c>
    </row>
    <row r="56" spans="1:3" ht="15">
      <c r="A56" s="53"/>
      <c r="B56" s="54"/>
      <c r="C56" s="55"/>
    </row>
    <row r="57" spans="1:3" ht="15">
      <c r="A57" s="56"/>
      <c r="B57" s="359" t="s">
        <v>77</v>
      </c>
      <c r="C57" s="359"/>
    </row>
    <row r="58" spans="1:3" ht="30.75">
      <c r="A58" s="40"/>
      <c r="B58" s="57" t="s">
        <v>78</v>
      </c>
      <c r="C58" s="58">
        <v>1115.1</v>
      </c>
    </row>
    <row r="59" spans="1:3" ht="50.25" customHeight="1">
      <c r="A59" s="40"/>
      <c r="B59" s="59" t="s">
        <v>79</v>
      </c>
      <c r="C59" s="30" t="s">
        <v>80</v>
      </c>
    </row>
    <row r="60" spans="1:3" ht="15">
      <c r="A60" s="40"/>
      <c r="B60" s="31"/>
      <c r="C60" s="42"/>
    </row>
    <row r="61" spans="1:3" ht="15">
      <c r="A61" s="40"/>
      <c r="B61" s="31"/>
      <c r="C61" s="42"/>
    </row>
    <row r="62" spans="1:3" ht="15">
      <c r="A62" s="40"/>
      <c r="B62" s="31"/>
      <c r="C62" s="60"/>
    </row>
    <row r="63" spans="1:3" ht="15">
      <c r="A63" s="40"/>
      <c r="B63" s="31"/>
      <c r="C63" s="61"/>
    </row>
    <row r="64" spans="1:3" ht="15">
      <c r="A64" s="40"/>
      <c r="B64" s="62"/>
      <c r="C64" s="42"/>
    </row>
    <row r="65" spans="1:13" ht="12.75" customHeight="1">
      <c r="A65" s="56"/>
      <c r="B65" s="360" t="s">
        <v>81</v>
      </c>
      <c r="C65" s="360"/>
      <c r="D65" s="360"/>
      <c r="E65" s="360"/>
      <c r="F65" s="360"/>
      <c r="G65" s="360"/>
      <c r="H65" s="360"/>
      <c r="I65" s="360"/>
      <c r="J65" s="360"/>
      <c r="K65" s="360"/>
      <c r="L65" s="360"/>
      <c r="M65" s="360"/>
    </row>
    <row r="66" spans="1:256" ht="15">
      <c r="A66" s="43"/>
      <c r="B66" s="63"/>
      <c r="C66" s="64"/>
      <c r="D66"/>
      <c r="IL66"/>
      <c r="IM66"/>
      <c r="IN66"/>
      <c r="IO66"/>
      <c r="IP66"/>
      <c r="IQ66"/>
      <c r="IR66"/>
      <c r="IS66"/>
      <c r="IT66"/>
      <c r="IU66"/>
      <c r="IV66"/>
    </row>
    <row r="67" spans="1:256" ht="46.5">
      <c r="A67" s="43"/>
      <c r="B67" s="65" t="s">
        <v>82</v>
      </c>
      <c r="C67" s="42">
        <v>60.5</v>
      </c>
      <c r="IL67"/>
      <c r="IM67"/>
      <c r="IN67"/>
      <c r="IO67"/>
      <c r="IP67"/>
      <c r="IQ67"/>
      <c r="IR67"/>
      <c r="IS67"/>
      <c r="IT67"/>
      <c r="IU67"/>
      <c r="IV67"/>
    </row>
    <row r="68" spans="1:256" ht="15">
      <c r="A68" s="40"/>
      <c r="B68" s="66" t="s">
        <v>83</v>
      </c>
      <c r="C68" s="42"/>
      <c r="IL68"/>
      <c r="IM68"/>
      <c r="IN68"/>
      <c r="IO68"/>
      <c r="IP68"/>
      <c r="IQ68"/>
      <c r="IR68"/>
      <c r="IS68"/>
      <c r="IT68"/>
      <c r="IU68"/>
      <c r="IV68"/>
    </row>
    <row r="69" spans="1:256" ht="15">
      <c r="A69" s="40"/>
      <c r="B69" s="38" t="s">
        <v>84</v>
      </c>
      <c r="C69" s="42" t="s">
        <v>64</v>
      </c>
      <c r="IL69"/>
      <c r="IM69"/>
      <c r="IN69"/>
      <c r="IO69"/>
      <c r="IP69"/>
      <c r="IQ69"/>
      <c r="IR69"/>
      <c r="IS69"/>
      <c r="IT69"/>
      <c r="IU69"/>
      <c r="IV69"/>
    </row>
    <row r="70" spans="1:256" ht="15">
      <c r="A70" s="40"/>
      <c r="B70" s="38" t="s">
        <v>85</v>
      </c>
      <c r="C70" s="42" t="s">
        <v>64</v>
      </c>
      <c r="IL70"/>
      <c r="IM70"/>
      <c r="IN70"/>
      <c r="IO70"/>
      <c r="IP70"/>
      <c r="IQ70"/>
      <c r="IR70"/>
      <c r="IS70"/>
      <c r="IT70"/>
      <c r="IU70"/>
      <c r="IV70"/>
    </row>
    <row r="71" spans="1:256" ht="15">
      <c r="A71" s="40"/>
      <c r="B71" s="38" t="s">
        <v>86</v>
      </c>
      <c r="C71" s="42">
        <v>16.3</v>
      </c>
      <c r="IL71"/>
      <c r="IM71"/>
      <c r="IN71"/>
      <c r="IO71"/>
      <c r="IP71"/>
      <c r="IQ71"/>
      <c r="IR71"/>
      <c r="IS71"/>
      <c r="IT71"/>
      <c r="IU71"/>
      <c r="IV71"/>
    </row>
    <row r="72" spans="1:8" ht="15">
      <c r="A72" s="53"/>
      <c r="B72" s="67"/>
      <c r="C72" s="55"/>
      <c r="D72" s="68"/>
      <c r="E72" s="68"/>
      <c r="F72" s="68"/>
      <c r="G72" s="14"/>
      <c r="H72" s="14"/>
    </row>
    <row r="73" spans="1:3" ht="62.25">
      <c r="A73" s="54"/>
      <c r="B73" s="69" t="s">
        <v>87</v>
      </c>
      <c r="C73" s="70"/>
    </row>
    <row r="74" spans="1:3" ht="15">
      <c r="A74" s="54"/>
      <c r="B74" s="69"/>
      <c r="C74" s="71"/>
    </row>
    <row r="75" spans="1:3" ht="15">
      <c r="A75" s="54"/>
      <c r="B75" s="69"/>
      <c r="C75" s="71"/>
    </row>
    <row r="76" spans="1:3" ht="15">
      <c r="A76" s="54"/>
      <c r="B76" s="69"/>
      <c r="C76" s="71"/>
    </row>
    <row r="77" spans="1:3" ht="15">
      <c r="A77" s="54"/>
      <c r="B77" s="69"/>
      <c r="C77" s="71"/>
    </row>
  </sheetData>
  <sheetProtection selectLockedCells="1" selectUnlockedCells="1"/>
  <mergeCells count="17">
    <mergeCell ref="B31:C31"/>
    <mergeCell ref="B39:C39"/>
    <mergeCell ref="B49:C49"/>
    <mergeCell ref="B57:C57"/>
    <mergeCell ref="B65:M65"/>
    <mergeCell ref="B10:C10"/>
    <mergeCell ref="B12:C12"/>
    <mergeCell ref="B13:C13"/>
    <mergeCell ref="B14:C14"/>
    <mergeCell ref="B15:C15"/>
    <mergeCell ref="A30:C30"/>
    <mergeCell ref="A1:D1"/>
    <mergeCell ref="A2:D2"/>
    <mergeCell ref="A3:D3"/>
    <mergeCell ref="B5:C5"/>
    <mergeCell ref="A6:D6"/>
    <mergeCell ref="B7:C7"/>
  </mergeCells>
  <hyperlinks>
    <hyperlink ref="C20" r:id="rId1" display="Snegnogorsk@socmurman.ru"/>
  </hyperlink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AG88"/>
  <sheetViews>
    <sheetView zoomScale="115" zoomScaleNormal="115" zoomScaleSheetLayoutView="100" zoomScalePageLayoutView="0" workbookViewId="0" topLeftCell="A4">
      <selection activeCell="G71" sqref="G71"/>
    </sheetView>
  </sheetViews>
  <sheetFormatPr defaultColWidth="9.50390625" defaultRowHeight="12.75"/>
  <cols>
    <col min="1" max="1" width="7.50390625" style="13" customWidth="1"/>
    <col min="2" max="2" width="40.875" style="13" customWidth="1"/>
    <col min="3" max="3" width="40.50390625" style="13" customWidth="1"/>
    <col min="4" max="4" width="19.00390625" style="72" customWidth="1"/>
    <col min="5" max="5" width="24.50390625" style="72" customWidth="1"/>
    <col min="6" max="6" width="14.50390625" style="13" customWidth="1"/>
    <col min="7" max="7" width="33.50390625" style="13" customWidth="1"/>
    <col min="8" max="16384" width="9.50390625" style="13" customWidth="1"/>
  </cols>
  <sheetData>
    <row r="1" spans="1:5" ht="15">
      <c r="A1" s="354" t="s">
        <v>88</v>
      </c>
      <c r="B1" s="354"/>
      <c r="C1" s="354"/>
      <c r="D1" s="354"/>
      <c r="E1" s="354"/>
    </row>
    <row r="2" spans="1:33" ht="15">
      <c r="A2" s="364" t="s">
        <v>24</v>
      </c>
      <c r="B2" s="364"/>
      <c r="C2" s="364"/>
      <c r="D2" s="364"/>
      <c r="E2" s="364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33" s="5" customFormat="1" ht="9.75" customHeight="1">
      <c r="A3" s="74"/>
      <c r="B3" s="365" t="s">
        <v>25</v>
      </c>
      <c r="C3" s="365"/>
      <c r="D3" s="365"/>
      <c r="E3" s="36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ht="13.5" customHeight="1">
      <c r="A4" s="73"/>
      <c r="B4" s="73"/>
      <c r="C4" s="73"/>
      <c r="D4" s="76"/>
      <c r="E4" s="76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</row>
    <row r="5" spans="1:33" ht="15">
      <c r="A5" s="77"/>
      <c r="B5" s="77"/>
      <c r="C5" s="78"/>
      <c r="D5" s="79"/>
      <c r="E5" s="79"/>
      <c r="F5" s="80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</row>
    <row r="6" spans="1:33" s="72" customFormat="1" ht="45" customHeight="1">
      <c r="A6" s="24"/>
      <c r="B6" s="81" t="s">
        <v>89</v>
      </c>
      <c r="C6" s="82" t="s">
        <v>90</v>
      </c>
      <c r="D6" s="82" t="s">
        <v>91</v>
      </c>
      <c r="E6" s="82" t="s">
        <v>92</v>
      </c>
      <c r="F6" s="80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33" ht="57.75" customHeight="1">
      <c r="A7" s="83">
        <v>1</v>
      </c>
      <c r="B7" s="84" t="s">
        <v>93</v>
      </c>
      <c r="C7" s="366" t="s">
        <v>94</v>
      </c>
      <c r="D7" s="85">
        <v>684</v>
      </c>
      <c r="E7" s="86">
        <v>12191800</v>
      </c>
      <c r="F7" s="87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</row>
    <row r="8" spans="1:33" ht="59.25" customHeight="1">
      <c r="A8" s="88">
        <v>2</v>
      </c>
      <c r="B8" s="89" t="s">
        <v>95</v>
      </c>
      <c r="C8" s="366"/>
      <c r="D8" s="90">
        <v>997</v>
      </c>
      <c r="E8" s="90">
        <v>60132775.46</v>
      </c>
      <c r="F8" s="91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</row>
    <row r="9" spans="1:33" ht="50.25" customHeight="1">
      <c r="A9" s="88">
        <v>3</v>
      </c>
      <c r="B9" s="92" t="s">
        <v>96</v>
      </c>
      <c r="C9" s="366"/>
      <c r="D9" s="85">
        <v>944</v>
      </c>
      <c r="E9" s="93">
        <v>18264277.12</v>
      </c>
      <c r="F9" s="73"/>
      <c r="G9" s="94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</row>
    <row r="10" spans="1:33" s="72" customFormat="1" ht="91.5" customHeight="1">
      <c r="A10" s="88"/>
      <c r="B10" s="95" t="s">
        <v>97</v>
      </c>
      <c r="C10" s="366" t="s">
        <v>98</v>
      </c>
      <c r="D10" s="85">
        <f>D11+D12+D13+D14</f>
        <v>5757</v>
      </c>
      <c r="E10" s="93">
        <f>E11+E12+E13+E14</f>
        <v>49900515.919999994</v>
      </c>
      <c r="F10" s="9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</row>
    <row r="11" spans="1:33" ht="36.75" customHeight="1">
      <c r="A11" s="88">
        <v>4</v>
      </c>
      <c r="B11" s="84" t="s">
        <v>99</v>
      </c>
      <c r="C11" s="366"/>
      <c r="D11" s="85">
        <v>3384</v>
      </c>
      <c r="E11" s="93">
        <v>43507009.23</v>
      </c>
      <c r="F11" s="97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</row>
    <row r="12" spans="1:33" ht="16.5" customHeight="1">
      <c r="A12" s="88">
        <v>5</v>
      </c>
      <c r="B12" s="84" t="s">
        <v>100</v>
      </c>
      <c r="C12" s="366"/>
      <c r="D12" s="85">
        <v>0</v>
      </c>
      <c r="E12" s="93">
        <v>0</v>
      </c>
      <c r="F12" s="98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</row>
    <row r="13" spans="1:33" s="72" customFormat="1" ht="31.5" customHeight="1">
      <c r="A13" s="88">
        <v>6</v>
      </c>
      <c r="B13" s="99" t="s">
        <v>101</v>
      </c>
      <c r="C13" s="366"/>
      <c r="D13" s="100">
        <v>9</v>
      </c>
      <c r="E13" s="93">
        <v>118412.19</v>
      </c>
      <c r="F13" s="101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</row>
    <row r="14" spans="1:33" ht="29.25" customHeight="1">
      <c r="A14" s="88">
        <v>7</v>
      </c>
      <c r="B14" s="102" t="s">
        <v>102</v>
      </c>
      <c r="C14" s="366"/>
      <c r="D14" s="85">
        <v>2364</v>
      </c>
      <c r="E14" s="103">
        <v>6275094.5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1:33" s="72" customFormat="1" ht="31.5" customHeight="1">
      <c r="A15" s="88"/>
      <c r="B15" s="104" t="s">
        <v>103</v>
      </c>
      <c r="C15" s="366"/>
      <c r="D15" s="85">
        <f>D16+D17</f>
        <v>3333</v>
      </c>
      <c r="E15" s="93">
        <f>E16+E17</f>
        <v>72272941.78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</row>
    <row r="16" spans="1:33" ht="35.25" customHeight="1">
      <c r="A16" s="88">
        <v>8</v>
      </c>
      <c r="B16" s="84" t="s">
        <v>99</v>
      </c>
      <c r="C16" s="366"/>
      <c r="D16" s="85">
        <v>3323</v>
      </c>
      <c r="E16" s="93">
        <v>71875266.88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</row>
    <row r="17" spans="1:33" ht="38.25">
      <c r="A17" s="88">
        <v>9</v>
      </c>
      <c r="B17" s="84" t="s">
        <v>101</v>
      </c>
      <c r="C17" s="366"/>
      <c r="D17" s="85">
        <v>10</v>
      </c>
      <c r="E17" s="93">
        <v>397674.9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</row>
    <row r="18" spans="1:33" ht="35.25" customHeight="1">
      <c r="A18" s="88">
        <v>10</v>
      </c>
      <c r="B18" s="89" t="s">
        <v>104</v>
      </c>
      <c r="C18" s="366"/>
      <c r="D18" s="85">
        <v>0</v>
      </c>
      <c r="E18" s="93">
        <v>0</v>
      </c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</row>
    <row r="19" spans="1:33" ht="33.75" customHeight="1">
      <c r="A19" s="105">
        <v>11</v>
      </c>
      <c r="B19" s="89" t="s">
        <v>105</v>
      </c>
      <c r="C19" s="366"/>
      <c r="D19" s="85">
        <v>0</v>
      </c>
      <c r="E19" s="93">
        <v>0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</row>
    <row r="20" spans="1:33" ht="89.25" customHeight="1">
      <c r="A20" s="105">
        <v>12</v>
      </c>
      <c r="B20" s="89" t="s">
        <v>106</v>
      </c>
      <c r="C20" s="84" t="s">
        <v>107</v>
      </c>
      <c r="D20" s="85">
        <v>17</v>
      </c>
      <c r="E20" s="93">
        <v>46477.04</v>
      </c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</row>
    <row r="21" spans="1:33" s="72" customFormat="1" ht="63" customHeight="1">
      <c r="A21" s="88">
        <v>13</v>
      </c>
      <c r="B21" s="99" t="s">
        <v>108</v>
      </c>
      <c r="C21" s="367" t="s">
        <v>109</v>
      </c>
      <c r="D21" s="85">
        <v>1568</v>
      </c>
      <c r="E21" s="93">
        <v>29126914.72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</row>
    <row r="22" spans="1:33" s="72" customFormat="1" ht="51.75" customHeight="1">
      <c r="A22" s="88"/>
      <c r="B22" s="99" t="s">
        <v>110</v>
      </c>
      <c r="C22" s="367"/>
      <c r="D22" s="85">
        <v>136</v>
      </c>
      <c r="E22" s="93">
        <v>141611.04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ht="72" customHeight="1">
      <c r="A23" s="105">
        <v>14</v>
      </c>
      <c r="B23" s="84" t="s">
        <v>111</v>
      </c>
      <c r="C23" s="84" t="s">
        <v>112</v>
      </c>
      <c r="D23" s="85">
        <v>416</v>
      </c>
      <c r="E23" s="93">
        <v>10172903.51</v>
      </c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</row>
    <row r="24" spans="1:33" ht="53.25" customHeight="1">
      <c r="A24" s="105">
        <v>15</v>
      </c>
      <c r="B24" s="89" t="s">
        <v>113</v>
      </c>
      <c r="C24" s="366" t="s">
        <v>114</v>
      </c>
      <c r="D24" s="106">
        <v>459</v>
      </c>
      <c r="E24" s="107">
        <v>1286168.49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</row>
    <row r="25" spans="1:33" ht="66.75" customHeight="1">
      <c r="A25" s="105">
        <v>16</v>
      </c>
      <c r="B25" s="89" t="s">
        <v>115</v>
      </c>
      <c r="C25" s="366"/>
      <c r="D25" s="106">
        <v>53</v>
      </c>
      <c r="E25" s="107">
        <v>377638.27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</row>
    <row r="26" spans="1:33" ht="68.25" customHeight="1">
      <c r="A26" s="105">
        <v>17</v>
      </c>
      <c r="B26" s="89" t="s">
        <v>116</v>
      </c>
      <c r="C26" s="366"/>
      <c r="D26" s="108">
        <v>19</v>
      </c>
      <c r="E26" s="109">
        <v>283987.96</v>
      </c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</row>
    <row r="27" spans="1:33" ht="67.5" customHeight="1">
      <c r="A27" s="105">
        <v>18</v>
      </c>
      <c r="B27" s="89" t="s">
        <v>117</v>
      </c>
      <c r="C27" s="84" t="s">
        <v>118</v>
      </c>
      <c r="D27" s="85">
        <v>0</v>
      </c>
      <c r="E27" s="93">
        <v>0</v>
      </c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</row>
    <row r="28" spans="1:33" ht="146.25" customHeight="1">
      <c r="A28" s="105">
        <v>19</v>
      </c>
      <c r="B28" s="89" t="s">
        <v>119</v>
      </c>
      <c r="C28" s="84" t="s">
        <v>120</v>
      </c>
      <c r="D28" s="85">
        <v>0</v>
      </c>
      <c r="E28" s="93">
        <v>0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</row>
    <row r="29" spans="1:33" ht="63.75" customHeight="1">
      <c r="A29" s="105">
        <v>20</v>
      </c>
      <c r="B29" s="84" t="s">
        <v>121</v>
      </c>
      <c r="C29" s="369" t="s">
        <v>122</v>
      </c>
      <c r="D29" s="85">
        <v>3</v>
      </c>
      <c r="E29" s="93">
        <v>88896.76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</row>
    <row r="30" spans="1:33" ht="60.75" customHeight="1">
      <c r="A30" s="105">
        <v>21</v>
      </c>
      <c r="B30" s="84" t="s">
        <v>123</v>
      </c>
      <c r="C30" s="369"/>
      <c r="D30" s="85">
        <v>232</v>
      </c>
      <c r="E30" s="93">
        <v>1062228.24</v>
      </c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</row>
    <row r="31" spans="1:33" ht="74.25" customHeight="1">
      <c r="A31" s="105">
        <v>22</v>
      </c>
      <c r="B31" s="84" t="s">
        <v>124</v>
      </c>
      <c r="C31" s="369"/>
      <c r="D31" s="85">
        <v>11</v>
      </c>
      <c r="E31" s="93">
        <v>115000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</row>
    <row r="32" spans="1:33" ht="86.25" customHeight="1">
      <c r="A32" s="105">
        <v>23</v>
      </c>
      <c r="B32" s="84" t="s">
        <v>125</v>
      </c>
      <c r="C32" s="84" t="s">
        <v>126</v>
      </c>
      <c r="D32" s="85">
        <v>9</v>
      </c>
      <c r="E32" s="93">
        <v>9000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</row>
    <row r="33" spans="1:33" ht="70.5" customHeight="1">
      <c r="A33" s="105">
        <v>24</v>
      </c>
      <c r="B33" s="84" t="s">
        <v>127</v>
      </c>
      <c r="C33" s="89" t="s">
        <v>128</v>
      </c>
      <c r="D33" s="110">
        <v>381</v>
      </c>
      <c r="E33" s="93">
        <v>381000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</row>
    <row r="34" spans="1:33" ht="57" customHeight="1">
      <c r="A34" s="105">
        <v>25</v>
      </c>
      <c r="B34" s="84" t="s">
        <v>129</v>
      </c>
      <c r="C34" s="369" t="s">
        <v>130</v>
      </c>
      <c r="D34" s="111">
        <v>22</v>
      </c>
      <c r="E34" s="112">
        <v>220000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</row>
    <row r="35" spans="1:33" ht="39">
      <c r="A35" s="105">
        <v>26</v>
      </c>
      <c r="B35" s="84" t="s">
        <v>131</v>
      </c>
      <c r="C35" s="369"/>
      <c r="D35" s="111">
        <v>0</v>
      </c>
      <c r="E35" s="112">
        <v>0</v>
      </c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</row>
    <row r="36" spans="1:33" ht="25.5">
      <c r="A36" s="105">
        <v>27</v>
      </c>
      <c r="B36" s="84" t="s">
        <v>132</v>
      </c>
      <c r="C36" s="369"/>
      <c r="D36" s="111">
        <v>252</v>
      </c>
      <c r="E36" s="112">
        <v>151200</v>
      </c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</row>
    <row r="37" spans="1:33" ht="84" customHeight="1">
      <c r="A37" s="105">
        <v>28</v>
      </c>
      <c r="B37" s="84" t="s">
        <v>133</v>
      </c>
      <c r="C37" s="84" t="s">
        <v>134</v>
      </c>
      <c r="D37" s="111">
        <v>6</v>
      </c>
      <c r="E37" s="112">
        <v>108000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</row>
    <row r="38" spans="1:33" s="72" customFormat="1" ht="101.25" customHeight="1">
      <c r="A38" s="105">
        <v>29</v>
      </c>
      <c r="B38" s="99" t="s">
        <v>135</v>
      </c>
      <c r="C38" s="99" t="s">
        <v>136</v>
      </c>
      <c r="D38" s="111">
        <v>1</v>
      </c>
      <c r="E38" s="112">
        <v>24000</v>
      </c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</row>
    <row r="39" spans="1:33" ht="81.75" customHeight="1">
      <c r="A39" s="105">
        <v>30</v>
      </c>
      <c r="B39" s="99" t="s">
        <v>137</v>
      </c>
      <c r="C39" s="99" t="s">
        <v>138</v>
      </c>
      <c r="D39" s="111">
        <v>1920</v>
      </c>
      <c r="E39" s="113">
        <v>71650066.1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</row>
    <row r="40" spans="1:33" ht="66.75" customHeight="1">
      <c r="A40" s="105">
        <v>31</v>
      </c>
      <c r="B40" s="84" t="s">
        <v>139</v>
      </c>
      <c r="C40" s="84" t="s">
        <v>140</v>
      </c>
      <c r="D40" s="114">
        <v>149</v>
      </c>
      <c r="E40" s="115">
        <v>2170983.64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</row>
    <row r="41" spans="1:33" ht="45" customHeight="1">
      <c r="A41" s="105">
        <v>32</v>
      </c>
      <c r="B41" s="84" t="s">
        <v>141</v>
      </c>
      <c r="C41" s="366" t="s">
        <v>142</v>
      </c>
      <c r="D41" s="111">
        <v>40</v>
      </c>
      <c r="E41" s="112">
        <v>331816.02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</row>
    <row r="42" spans="1:33" ht="63" customHeight="1">
      <c r="A42" s="105">
        <v>33</v>
      </c>
      <c r="B42" s="99" t="s">
        <v>143</v>
      </c>
      <c r="C42" s="366"/>
      <c r="D42" s="111">
        <v>0</v>
      </c>
      <c r="E42" s="112">
        <v>0</v>
      </c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</row>
    <row r="43" spans="1:33" ht="57" customHeight="1">
      <c r="A43" s="105">
        <v>34</v>
      </c>
      <c r="B43" s="99" t="s">
        <v>144</v>
      </c>
      <c r="C43" s="366"/>
      <c r="D43" s="111">
        <v>40</v>
      </c>
      <c r="E43" s="112">
        <v>998686.85</v>
      </c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</row>
    <row r="44" spans="1:33" ht="78.75" customHeight="1">
      <c r="A44" s="105">
        <v>35</v>
      </c>
      <c r="B44" s="99" t="s">
        <v>145</v>
      </c>
      <c r="C44" s="366"/>
      <c r="D44" s="111">
        <v>652</v>
      </c>
      <c r="E44" s="112">
        <v>46015088.88</v>
      </c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</row>
    <row r="45" spans="1:33" s="117" customFormat="1" ht="70.5" customHeight="1">
      <c r="A45" s="105">
        <v>36</v>
      </c>
      <c r="B45" s="116" t="s">
        <v>146</v>
      </c>
      <c r="C45" s="366"/>
      <c r="D45" s="111">
        <v>0</v>
      </c>
      <c r="E45" s="112">
        <v>0</v>
      </c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</row>
    <row r="46" spans="1:33" s="72" customFormat="1" ht="48" customHeight="1">
      <c r="A46" s="105">
        <v>37</v>
      </c>
      <c r="B46" s="99" t="s">
        <v>147</v>
      </c>
      <c r="C46" s="366"/>
      <c r="D46" s="111">
        <v>1</v>
      </c>
      <c r="E46" s="112">
        <v>56686.63</v>
      </c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</row>
    <row r="47" spans="1:33" ht="39">
      <c r="A47" s="105">
        <v>38</v>
      </c>
      <c r="B47" s="84" t="s">
        <v>148</v>
      </c>
      <c r="C47" s="366"/>
      <c r="D47" s="111">
        <v>1</v>
      </c>
      <c r="E47" s="112">
        <v>39915.96</v>
      </c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</row>
    <row r="48" spans="1:33" s="72" customFormat="1" ht="40.5" customHeight="1">
      <c r="A48" s="105">
        <v>39</v>
      </c>
      <c r="B48" s="118" t="s">
        <v>149</v>
      </c>
      <c r="C48" s="366"/>
      <c r="D48" s="111">
        <v>0</v>
      </c>
      <c r="E48" s="112">
        <v>0</v>
      </c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</row>
    <row r="49" spans="1:33" ht="51">
      <c r="A49" s="105">
        <v>40</v>
      </c>
      <c r="B49" s="92" t="s">
        <v>150</v>
      </c>
      <c r="C49" s="119" t="s">
        <v>151</v>
      </c>
      <c r="D49" s="111">
        <v>0</v>
      </c>
      <c r="E49" s="112">
        <v>0</v>
      </c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</row>
    <row r="50" spans="1:33" ht="38.25" customHeight="1">
      <c r="A50" s="105">
        <v>41</v>
      </c>
      <c r="B50" s="84" t="s">
        <v>152</v>
      </c>
      <c r="C50" s="366" t="s">
        <v>153</v>
      </c>
      <c r="D50" s="111">
        <f>SUM(D51:D52)</f>
        <v>0</v>
      </c>
      <c r="E50" s="112">
        <f>SUM(E51:E52)</f>
        <v>0</v>
      </c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</row>
    <row r="51" spans="1:33" ht="39">
      <c r="A51" s="105">
        <v>42</v>
      </c>
      <c r="B51" s="84" t="s">
        <v>154</v>
      </c>
      <c r="C51" s="366"/>
      <c r="D51" s="111">
        <v>0</v>
      </c>
      <c r="E51" s="112">
        <v>0</v>
      </c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</row>
    <row r="52" spans="1:33" ht="39">
      <c r="A52" s="105">
        <v>43</v>
      </c>
      <c r="B52" s="102" t="s">
        <v>155</v>
      </c>
      <c r="C52" s="366"/>
      <c r="D52" s="111">
        <v>0</v>
      </c>
      <c r="E52" s="112">
        <v>0</v>
      </c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</row>
    <row r="53" spans="1:33" ht="73.5" customHeight="1">
      <c r="A53" s="105">
        <v>44</v>
      </c>
      <c r="B53" s="102" t="s">
        <v>156</v>
      </c>
      <c r="C53" s="84" t="s">
        <v>157</v>
      </c>
      <c r="D53" s="111">
        <v>0</v>
      </c>
      <c r="E53" s="112">
        <v>0</v>
      </c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</row>
    <row r="54" spans="1:33" s="72" customFormat="1" ht="126" customHeight="1">
      <c r="A54" s="105">
        <v>45</v>
      </c>
      <c r="B54" s="99" t="s">
        <v>158</v>
      </c>
      <c r="C54" s="120" t="s">
        <v>159</v>
      </c>
      <c r="D54" s="121">
        <v>38</v>
      </c>
      <c r="E54" s="122">
        <v>565501.45</v>
      </c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</row>
    <row r="55" spans="1:33" ht="126.75" customHeight="1">
      <c r="A55" s="105">
        <v>47</v>
      </c>
      <c r="B55" s="123" t="s">
        <v>160</v>
      </c>
      <c r="C55" s="124" t="s">
        <v>161</v>
      </c>
      <c r="D55" s="111">
        <v>0</v>
      </c>
      <c r="E55" s="112">
        <v>0</v>
      </c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</row>
    <row r="56" spans="1:33" ht="78.75">
      <c r="A56" s="105">
        <v>48</v>
      </c>
      <c r="B56" s="84" t="s">
        <v>162</v>
      </c>
      <c r="C56" s="84" t="s">
        <v>163</v>
      </c>
      <c r="D56" s="125">
        <v>532</v>
      </c>
      <c r="E56" s="86">
        <v>90240189.02</v>
      </c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</row>
    <row r="57" spans="1:31" s="130" customFormat="1" ht="63.75" customHeight="1">
      <c r="A57" s="105">
        <v>49</v>
      </c>
      <c r="B57" s="126" t="s">
        <v>164</v>
      </c>
      <c r="C57" s="126" t="s">
        <v>165</v>
      </c>
      <c r="D57" s="127">
        <v>166</v>
      </c>
      <c r="E57" s="128">
        <v>0</v>
      </c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</row>
    <row r="58" spans="1:31" ht="63.75">
      <c r="A58" s="105">
        <v>50</v>
      </c>
      <c r="B58" s="84" t="s">
        <v>166</v>
      </c>
      <c r="C58" s="84" t="s">
        <v>167</v>
      </c>
      <c r="D58" s="125">
        <v>334</v>
      </c>
      <c r="E58" s="86">
        <v>19189236.11</v>
      </c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</row>
    <row r="59" spans="1:33" s="117" customFormat="1" ht="119.25" customHeight="1">
      <c r="A59" s="105">
        <v>51</v>
      </c>
      <c r="B59" s="131" t="s">
        <v>168</v>
      </c>
      <c r="C59" s="132" t="s">
        <v>169</v>
      </c>
      <c r="D59" s="133">
        <v>5</v>
      </c>
      <c r="E59" s="113">
        <v>10174.05</v>
      </c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</row>
    <row r="60" spans="1:33" ht="68.25" customHeight="1">
      <c r="A60" s="105">
        <v>52</v>
      </c>
      <c r="B60" s="134" t="s">
        <v>170</v>
      </c>
      <c r="C60" s="132" t="s">
        <v>171</v>
      </c>
      <c r="D60" s="133">
        <v>303</v>
      </c>
      <c r="E60" s="113">
        <v>46477383</v>
      </c>
      <c r="F60"/>
      <c r="G60"/>
      <c r="H60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</row>
    <row r="61" spans="1:33" ht="39">
      <c r="A61" s="105">
        <v>53</v>
      </c>
      <c r="B61" s="134" t="s">
        <v>172</v>
      </c>
      <c r="C61" s="135" t="s">
        <v>173</v>
      </c>
      <c r="D61" s="111">
        <v>135</v>
      </c>
      <c r="E61" s="112">
        <v>27077236.97</v>
      </c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</row>
    <row r="62" spans="1:5" s="140" customFormat="1" ht="52.5">
      <c r="A62" s="105">
        <v>54</v>
      </c>
      <c r="B62" s="136" t="s">
        <v>174</v>
      </c>
      <c r="C62" s="137" t="s">
        <v>175</v>
      </c>
      <c r="D62" s="138">
        <v>651</v>
      </c>
      <c r="E62" s="139">
        <v>74402212.85</v>
      </c>
    </row>
    <row r="63" spans="1:33" ht="79.5">
      <c r="A63" s="105">
        <v>55</v>
      </c>
      <c r="B63" s="136" t="s">
        <v>176</v>
      </c>
      <c r="C63" s="141" t="s">
        <v>177</v>
      </c>
      <c r="D63" s="138">
        <v>3</v>
      </c>
      <c r="E63" s="139">
        <v>8425</v>
      </c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</row>
    <row r="64" spans="1:33" ht="128.25" customHeight="1">
      <c r="A64" s="105">
        <v>56</v>
      </c>
      <c r="B64" s="136" t="s">
        <v>178</v>
      </c>
      <c r="C64" s="137" t="s">
        <v>179</v>
      </c>
      <c r="D64" s="138">
        <v>1</v>
      </c>
      <c r="E64" s="139">
        <v>965.1</v>
      </c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</row>
    <row r="65" spans="1:33" ht="52.5">
      <c r="A65" s="105">
        <v>57</v>
      </c>
      <c r="B65" s="137" t="s">
        <v>180</v>
      </c>
      <c r="C65" s="137" t="s">
        <v>181</v>
      </c>
      <c r="D65" s="138">
        <v>172</v>
      </c>
      <c r="E65" s="139">
        <v>259384.8</v>
      </c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</row>
    <row r="66" spans="1:33" ht="45" customHeight="1">
      <c r="A66" s="105">
        <v>58</v>
      </c>
      <c r="B66" s="137" t="s">
        <v>180</v>
      </c>
      <c r="C66" s="137" t="s">
        <v>182</v>
      </c>
      <c r="D66" s="142">
        <v>66</v>
      </c>
      <c r="E66" s="142">
        <v>1226758.06</v>
      </c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</row>
    <row r="67" spans="1:5" ht="66">
      <c r="A67" s="105">
        <v>59</v>
      </c>
      <c r="B67" s="137" t="s">
        <v>183</v>
      </c>
      <c r="C67" s="137" t="s">
        <v>184</v>
      </c>
      <c r="D67" s="142">
        <v>18</v>
      </c>
      <c r="E67" s="142">
        <v>1058839.55</v>
      </c>
    </row>
    <row r="68" spans="1:33" s="117" customFormat="1" ht="57.75" customHeight="1">
      <c r="A68" s="105">
        <v>60</v>
      </c>
      <c r="B68" s="143" t="s">
        <v>185</v>
      </c>
      <c r="C68" s="370" t="s">
        <v>186</v>
      </c>
      <c r="D68" s="144">
        <v>18</v>
      </c>
      <c r="E68" s="145">
        <v>0</v>
      </c>
      <c r="F68" s="146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</row>
    <row r="69" spans="1:33" s="117" customFormat="1" ht="42" customHeight="1">
      <c r="A69" s="105">
        <v>61</v>
      </c>
      <c r="B69" s="143" t="s">
        <v>187</v>
      </c>
      <c r="C69" s="370"/>
      <c r="D69" s="144">
        <v>15</v>
      </c>
      <c r="E69" s="145">
        <v>0</v>
      </c>
      <c r="F69" s="146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</row>
    <row r="70" spans="1:33" s="150" customFormat="1" ht="34.5" customHeight="1">
      <c r="A70" s="105">
        <v>62</v>
      </c>
      <c r="B70" s="147" t="s">
        <v>188</v>
      </c>
      <c r="C70" s="148" t="s">
        <v>189</v>
      </c>
      <c r="D70" s="144">
        <v>1902</v>
      </c>
      <c r="E70" s="145">
        <v>0</v>
      </c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</row>
    <row r="71" spans="1:33" s="150" customFormat="1" ht="63.75" customHeight="1">
      <c r="A71" s="105">
        <v>63</v>
      </c>
      <c r="B71" s="147" t="s">
        <v>190</v>
      </c>
      <c r="C71" s="368" t="s">
        <v>191</v>
      </c>
      <c r="D71" s="144">
        <v>69</v>
      </c>
      <c r="E71" s="145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</row>
    <row r="72" spans="1:33" s="150" customFormat="1" ht="54" customHeight="1">
      <c r="A72" s="105">
        <v>64</v>
      </c>
      <c r="B72" s="147" t="s">
        <v>192</v>
      </c>
      <c r="C72" s="368"/>
      <c r="D72" s="144">
        <v>75</v>
      </c>
      <c r="E72" s="145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</row>
    <row r="73" spans="1:33" s="150" customFormat="1" ht="62.25" customHeight="1">
      <c r="A73" s="105">
        <v>65</v>
      </c>
      <c r="B73" s="147" t="s">
        <v>193</v>
      </c>
      <c r="C73" s="368" t="s">
        <v>194</v>
      </c>
      <c r="D73" s="144">
        <v>82</v>
      </c>
      <c r="E73" s="145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</row>
    <row r="74" spans="1:33" s="150" customFormat="1" ht="50.25" customHeight="1">
      <c r="A74" s="105">
        <v>66</v>
      </c>
      <c r="B74" s="147" t="s">
        <v>195</v>
      </c>
      <c r="C74" s="368"/>
      <c r="D74" s="144">
        <v>68</v>
      </c>
      <c r="E74" s="145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</row>
    <row r="75" spans="1:33" s="150" customFormat="1" ht="132">
      <c r="A75" s="105">
        <v>67</v>
      </c>
      <c r="B75" s="147" t="s">
        <v>196</v>
      </c>
      <c r="C75" s="151" t="s">
        <v>197</v>
      </c>
      <c r="D75" s="144">
        <v>1</v>
      </c>
      <c r="E75" s="145">
        <v>0</v>
      </c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</row>
    <row r="76" spans="1:33" s="150" customFormat="1" ht="118.5">
      <c r="A76" s="105">
        <v>68</v>
      </c>
      <c r="B76" s="143" t="s">
        <v>198</v>
      </c>
      <c r="C76" s="143" t="s">
        <v>199</v>
      </c>
      <c r="D76" s="144">
        <v>0</v>
      </c>
      <c r="E76" s="145">
        <v>0</v>
      </c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</row>
    <row r="77" spans="1:33" ht="92.25">
      <c r="A77" s="105">
        <v>69</v>
      </c>
      <c r="B77" s="143" t="s">
        <v>200</v>
      </c>
      <c r="C77" s="143" t="s">
        <v>201</v>
      </c>
      <c r="D77" s="144">
        <v>196</v>
      </c>
      <c r="E77" s="145">
        <v>7588315.899999999</v>
      </c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</row>
    <row r="78" spans="1:31" s="150" customFormat="1" ht="92.25">
      <c r="A78" s="105">
        <v>70</v>
      </c>
      <c r="B78" s="147" t="s">
        <v>202</v>
      </c>
      <c r="C78" s="143" t="s">
        <v>203</v>
      </c>
      <c r="D78" s="144">
        <v>11</v>
      </c>
      <c r="E78" s="145">
        <v>985490.28</v>
      </c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</row>
    <row r="79" spans="1:33" s="150" customFormat="1" ht="52.5">
      <c r="A79" s="105">
        <v>71</v>
      </c>
      <c r="B79" s="147" t="s">
        <v>204</v>
      </c>
      <c r="C79" s="152" t="s">
        <v>205</v>
      </c>
      <c r="D79" s="144">
        <v>0</v>
      </c>
      <c r="E79" s="145">
        <v>0</v>
      </c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</row>
    <row r="80" ht="15">
      <c r="C80" s="153"/>
    </row>
    <row r="81" ht="15">
      <c r="C81" s="153"/>
    </row>
    <row r="82" ht="15">
      <c r="C82" s="153"/>
    </row>
    <row r="83" ht="15">
      <c r="C83" s="153"/>
    </row>
    <row r="84" ht="15">
      <c r="C84" s="153"/>
    </row>
    <row r="85" ht="15">
      <c r="C85" s="153"/>
    </row>
    <row r="86" ht="15">
      <c r="C86" s="153"/>
    </row>
    <row r="87" ht="15">
      <c r="C87" s="153"/>
    </row>
    <row r="88" ht="15">
      <c r="C88" s="153"/>
    </row>
  </sheetData>
  <sheetProtection selectLockedCells="1" selectUnlockedCells="1"/>
  <mergeCells count="14">
    <mergeCell ref="C71:C72"/>
    <mergeCell ref="C73:C74"/>
    <mergeCell ref="C24:C26"/>
    <mergeCell ref="C29:C31"/>
    <mergeCell ref="C34:C36"/>
    <mergeCell ref="C41:C48"/>
    <mergeCell ref="C50:C52"/>
    <mergeCell ref="C68:C69"/>
    <mergeCell ref="A1:E1"/>
    <mergeCell ref="A2:E2"/>
    <mergeCell ref="B3:E3"/>
    <mergeCell ref="C7:C9"/>
    <mergeCell ref="C10:C19"/>
    <mergeCell ref="C21:C22"/>
  </mergeCells>
  <printOptions/>
  <pageMargins left="0.7875" right="0.5902777777777778" top="0.5902777777777778" bottom="0.5902777777777778" header="0.5118055555555555" footer="0.5118055555555555"/>
  <pageSetup fitToHeight="0" fitToWidth="1" horizontalDpi="600" verticalDpi="600" orientation="portrait" paperSize="9" scale="6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W92"/>
  <sheetViews>
    <sheetView zoomScale="60" zoomScaleNormal="60" zoomScalePageLayoutView="0" workbookViewId="0" topLeftCell="A16">
      <selection activeCell="A50" sqref="A50:IV50"/>
    </sheetView>
  </sheetViews>
  <sheetFormatPr defaultColWidth="9.00390625" defaultRowHeight="12.75"/>
  <cols>
    <col min="1" max="1" width="6.50390625" style="0" customWidth="1"/>
    <col min="2" max="2" width="45.50390625" style="0" customWidth="1"/>
    <col min="3" max="3" width="12.50390625" style="0" customWidth="1"/>
    <col min="4" max="4" width="16.50390625" style="13" customWidth="1"/>
    <col min="5" max="5" width="13.625" style="13" customWidth="1"/>
    <col min="6" max="6" width="12.00390625" style="13" customWidth="1"/>
    <col min="7" max="7" width="12.375" style="0" customWidth="1"/>
    <col min="8" max="8" width="12.00390625" style="0" customWidth="1"/>
    <col min="9" max="9" width="13.00390625" style="0" customWidth="1"/>
    <col min="10" max="11" width="12.00390625" style="0" customWidth="1"/>
    <col min="12" max="13" width="12.50390625" style="0" customWidth="1"/>
    <col min="14" max="15" width="10.50390625" style="0" customWidth="1"/>
    <col min="16" max="16" width="12.50390625" style="0" customWidth="1"/>
    <col min="17" max="17" width="11.375" style="0" customWidth="1"/>
    <col min="18" max="18" width="11.625" style="0" customWidth="1"/>
    <col min="19" max="19" width="11.50390625" style="0" customWidth="1"/>
    <col min="20" max="20" width="11.375" style="0" customWidth="1"/>
    <col min="21" max="21" width="11.625" style="0" customWidth="1"/>
    <col min="22" max="22" width="13.625" style="0" customWidth="1"/>
    <col min="23" max="23" width="12.625" style="0" customWidth="1"/>
  </cols>
  <sheetData>
    <row r="1" spans="1:4" ht="15">
      <c r="A1" s="354" t="s">
        <v>206</v>
      </c>
      <c r="B1" s="354"/>
      <c r="C1" s="354"/>
      <c r="D1" s="354"/>
    </row>
    <row r="2" spans="1:5" ht="15">
      <c r="A2" s="364" t="s">
        <v>24</v>
      </c>
      <c r="B2" s="364"/>
      <c r="C2" s="364"/>
      <c r="D2" s="364"/>
      <c r="E2" s="364"/>
    </row>
    <row r="3" spans="1:6" ht="19.5" customHeight="1">
      <c r="A3" s="371" t="s">
        <v>25</v>
      </c>
      <c r="B3" s="371"/>
      <c r="C3" s="371"/>
      <c r="D3" s="371"/>
      <c r="E3" s="371"/>
      <c r="F3" s="371"/>
    </row>
    <row r="4" spans="1:22" ht="19.5" customHeight="1">
      <c r="A4" s="13"/>
      <c r="B4" s="13"/>
      <c r="C4" s="13"/>
      <c r="G4" s="154"/>
      <c r="H4" s="154"/>
      <c r="I4" s="154"/>
      <c r="J4" s="154"/>
      <c r="K4" s="154"/>
      <c r="L4" s="154"/>
      <c r="M4" s="155"/>
      <c r="N4" s="154"/>
      <c r="O4" s="155"/>
      <c r="P4" s="154"/>
      <c r="Q4" s="155"/>
      <c r="R4" s="154"/>
      <c r="S4" s="155"/>
      <c r="T4" s="155"/>
      <c r="U4" s="155"/>
      <c r="V4" s="154"/>
    </row>
    <row r="5" spans="1:23" ht="46.5">
      <c r="A5" s="156" t="s">
        <v>207</v>
      </c>
      <c r="B5" s="156" t="s">
        <v>208</v>
      </c>
      <c r="C5" s="157" t="s">
        <v>209</v>
      </c>
      <c r="D5" s="158" t="s">
        <v>210</v>
      </c>
      <c r="E5" s="158" t="s">
        <v>211</v>
      </c>
      <c r="F5" s="158" t="s">
        <v>212</v>
      </c>
      <c r="G5" s="59" t="s">
        <v>213</v>
      </c>
      <c r="H5" s="159" t="s">
        <v>214</v>
      </c>
      <c r="I5" s="159" t="s">
        <v>215</v>
      </c>
      <c r="J5" s="159" t="s">
        <v>216</v>
      </c>
      <c r="K5" s="159" t="s">
        <v>217</v>
      </c>
      <c r="L5" s="160" t="s">
        <v>218</v>
      </c>
      <c r="M5" s="161" t="s">
        <v>219</v>
      </c>
      <c r="N5" s="162" t="s">
        <v>220</v>
      </c>
      <c r="O5" s="163" t="s">
        <v>221</v>
      </c>
      <c r="P5" s="164" t="s">
        <v>222</v>
      </c>
      <c r="Q5" s="161" t="s">
        <v>223</v>
      </c>
      <c r="R5" s="165" t="s">
        <v>224</v>
      </c>
      <c r="S5" s="165" t="s">
        <v>225</v>
      </c>
      <c r="T5" s="166" t="s">
        <v>226</v>
      </c>
      <c r="U5" s="167" t="s">
        <v>227</v>
      </c>
      <c r="V5" s="168" t="s">
        <v>228</v>
      </c>
      <c r="W5" s="345" t="s">
        <v>671</v>
      </c>
    </row>
    <row r="6" spans="1:23" ht="15">
      <c r="A6" s="169"/>
      <c r="B6" s="169" t="s">
        <v>229</v>
      </c>
      <c r="C6" s="169"/>
      <c r="D6" s="169"/>
      <c r="E6" s="169"/>
      <c r="F6" s="169"/>
      <c r="G6" s="154"/>
      <c r="H6" s="154"/>
      <c r="I6" s="154"/>
      <c r="J6" s="154"/>
      <c r="K6" s="154"/>
      <c r="L6" s="155"/>
      <c r="M6" s="155"/>
      <c r="N6" s="155"/>
      <c r="O6" s="155"/>
      <c r="P6" s="154"/>
      <c r="Q6" s="155"/>
      <c r="R6" s="154"/>
      <c r="S6" s="154"/>
      <c r="T6" s="154"/>
      <c r="U6" s="170"/>
      <c r="V6" s="155"/>
      <c r="W6" s="346"/>
    </row>
    <row r="7" spans="1:23" ht="15">
      <c r="A7" s="171"/>
      <c r="B7" s="172">
        <v>38</v>
      </c>
      <c r="C7" s="171" t="s">
        <v>230</v>
      </c>
      <c r="D7" s="173">
        <v>22</v>
      </c>
      <c r="E7" s="173">
        <v>33</v>
      </c>
      <c r="F7" s="173">
        <v>36</v>
      </c>
      <c r="G7" s="173">
        <v>36</v>
      </c>
      <c r="H7" s="173">
        <v>36</v>
      </c>
      <c r="I7" s="173">
        <v>36</v>
      </c>
      <c r="J7" s="174">
        <v>35</v>
      </c>
      <c r="K7" s="174">
        <v>36</v>
      </c>
      <c r="L7" s="175">
        <v>36</v>
      </c>
      <c r="M7" s="175">
        <v>36</v>
      </c>
      <c r="N7" s="175">
        <v>36</v>
      </c>
      <c r="O7" s="175">
        <v>35</v>
      </c>
      <c r="P7" s="176">
        <v>36</v>
      </c>
      <c r="Q7" s="177">
        <v>36</v>
      </c>
      <c r="R7" s="176">
        <v>36</v>
      </c>
      <c r="S7" s="154">
        <v>36</v>
      </c>
      <c r="T7" s="154">
        <v>36</v>
      </c>
      <c r="U7" s="155">
        <v>38</v>
      </c>
      <c r="V7" s="155">
        <v>38</v>
      </c>
      <c r="W7" s="155">
        <v>38</v>
      </c>
    </row>
    <row r="8" spans="1:23" ht="15">
      <c r="A8" s="171"/>
      <c r="B8" s="178" t="s">
        <v>231</v>
      </c>
      <c r="C8" s="171" t="s">
        <v>230</v>
      </c>
      <c r="D8" s="179">
        <v>5</v>
      </c>
      <c r="E8" s="179">
        <v>5</v>
      </c>
      <c r="F8" s="179">
        <v>6</v>
      </c>
      <c r="G8" s="173">
        <v>6</v>
      </c>
      <c r="H8" s="173">
        <v>6</v>
      </c>
      <c r="I8" s="173">
        <v>6</v>
      </c>
      <c r="J8" s="174">
        <v>6</v>
      </c>
      <c r="K8" s="174">
        <v>6</v>
      </c>
      <c r="L8" s="175">
        <v>5</v>
      </c>
      <c r="M8" s="175">
        <v>5</v>
      </c>
      <c r="N8" s="175">
        <v>5</v>
      </c>
      <c r="O8" s="175">
        <v>5</v>
      </c>
      <c r="P8" s="176">
        <v>5</v>
      </c>
      <c r="Q8" s="177">
        <v>5</v>
      </c>
      <c r="R8" s="176">
        <v>5</v>
      </c>
      <c r="S8" s="154">
        <v>5</v>
      </c>
      <c r="T8" s="154">
        <v>5</v>
      </c>
      <c r="U8" s="155">
        <v>5</v>
      </c>
      <c r="V8" s="155">
        <v>5</v>
      </c>
      <c r="W8" s="155">
        <v>5</v>
      </c>
    </row>
    <row r="9" spans="1:23" ht="15">
      <c r="A9" s="171"/>
      <c r="B9" s="172" t="s">
        <v>232</v>
      </c>
      <c r="C9" s="171" t="s">
        <v>230</v>
      </c>
      <c r="D9" s="180">
        <v>1</v>
      </c>
      <c r="E9" s="180">
        <v>1</v>
      </c>
      <c r="F9" s="180">
        <v>1</v>
      </c>
      <c r="G9" s="173">
        <v>1</v>
      </c>
      <c r="H9" s="173">
        <v>1</v>
      </c>
      <c r="I9" s="173">
        <v>1</v>
      </c>
      <c r="J9" s="174">
        <v>1</v>
      </c>
      <c r="K9" s="174">
        <v>1</v>
      </c>
      <c r="L9" s="175">
        <v>1</v>
      </c>
      <c r="M9" s="175">
        <v>1</v>
      </c>
      <c r="N9" s="175">
        <v>1</v>
      </c>
      <c r="O9" s="175">
        <v>1</v>
      </c>
      <c r="P9" s="176">
        <v>1</v>
      </c>
      <c r="Q9" s="177">
        <v>1</v>
      </c>
      <c r="R9" s="176">
        <v>1</v>
      </c>
      <c r="S9" s="154">
        <v>1</v>
      </c>
      <c r="T9" s="154">
        <v>1</v>
      </c>
      <c r="U9" s="155">
        <v>1</v>
      </c>
      <c r="V9" s="155">
        <v>1</v>
      </c>
      <c r="W9" s="155">
        <v>1</v>
      </c>
    </row>
    <row r="10" spans="1:23" ht="15">
      <c r="A10" s="171"/>
      <c r="B10" s="172" t="s">
        <v>233</v>
      </c>
      <c r="C10" s="171" t="s">
        <v>230</v>
      </c>
      <c r="D10" s="180">
        <v>1</v>
      </c>
      <c r="E10" s="180">
        <v>1</v>
      </c>
      <c r="F10" s="180">
        <v>2</v>
      </c>
      <c r="G10" s="173">
        <v>2</v>
      </c>
      <c r="H10" s="173">
        <v>2</v>
      </c>
      <c r="I10" s="173">
        <v>2</v>
      </c>
      <c r="J10" s="174">
        <v>2</v>
      </c>
      <c r="K10" s="174">
        <v>2</v>
      </c>
      <c r="L10" s="175">
        <v>1</v>
      </c>
      <c r="M10" s="175">
        <v>1</v>
      </c>
      <c r="N10" s="175">
        <v>1</v>
      </c>
      <c r="O10" s="175">
        <v>1</v>
      </c>
      <c r="P10" s="176">
        <v>1</v>
      </c>
      <c r="Q10" s="177">
        <v>1</v>
      </c>
      <c r="R10" s="176">
        <v>1</v>
      </c>
      <c r="S10" s="154">
        <v>1</v>
      </c>
      <c r="T10" s="154">
        <v>1</v>
      </c>
      <c r="U10" s="155">
        <v>1</v>
      </c>
      <c r="V10" s="155">
        <v>1</v>
      </c>
      <c r="W10" s="155">
        <v>1</v>
      </c>
    </row>
    <row r="11" spans="1:23" ht="15">
      <c r="A11" s="171"/>
      <c r="B11" s="172" t="s">
        <v>234</v>
      </c>
      <c r="C11" s="171" t="s">
        <v>230</v>
      </c>
      <c r="D11" s="180">
        <v>1</v>
      </c>
      <c r="E11" s="180">
        <v>1</v>
      </c>
      <c r="F11" s="180">
        <v>1</v>
      </c>
      <c r="G11" s="173">
        <v>1</v>
      </c>
      <c r="H11" s="173">
        <v>1</v>
      </c>
      <c r="I11" s="173">
        <v>1</v>
      </c>
      <c r="J11" s="174">
        <v>1</v>
      </c>
      <c r="K11" s="174">
        <v>1</v>
      </c>
      <c r="L11" s="175">
        <v>1</v>
      </c>
      <c r="M11" s="175">
        <v>1</v>
      </c>
      <c r="N11" s="175">
        <v>1</v>
      </c>
      <c r="O11" s="175">
        <v>1</v>
      </c>
      <c r="P11" s="176">
        <v>1</v>
      </c>
      <c r="Q11" s="177">
        <v>1</v>
      </c>
      <c r="R11" s="176">
        <v>1</v>
      </c>
      <c r="S11" s="154">
        <v>1</v>
      </c>
      <c r="T11" s="154">
        <v>1</v>
      </c>
      <c r="U11" s="155">
        <v>1</v>
      </c>
      <c r="V11" s="155">
        <v>1</v>
      </c>
      <c r="W11" s="155">
        <v>1</v>
      </c>
    </row>
    <row r="12" spans="1:23" ht="15">
      <c r="A12" s="171"/>
      <c r="B12" s="172" t="s">
        <v>235</v>
      </c>
      <c r="C12" s="171" t="s">
        <v>230</v>
      </c>
      <c r="D12" s="180">
        <v>2</v>
      </c>
      <c r="E12" s="180">
        <v>2</v>
      </c>
      <c r="F12" s="180">
        <v>2</v>
      </c>
      <c r="G12" s="173">
        <v>2</v>
      </c>
      <c r="H12" s="173">
        <v>2</v>
      </c>
      <c r="I12" s="173">
        <v>2</v>
      </c>
      <c r="J12" s="174">
        <v>2</v>
      </c>
      <c r="K12" s="174">
        <v>2</v>
      </c>
      <c r="L12" s="175">
        <v>2</v>
      </c>
      <c r="M12" s="175">
        <v>2</v>
      </c>
      <c r="N12" s="175">
        <v>2</v>
      </c>
      <c r="O12" s="175">
        <v>2</v>
      </c>
      <c r="P12" s="176">
        <v>2</v>
      </c>
      <c r="Q12" s="177">
        <v>2</v>
      </c>
      <c r="R12" s="176">
        <v>2</v>
      </c>
      <c r="S12" s="154">
        <v>2</v>
      </c>
      <c r="T12" s="154">
        <v>2</v>
      </c>
      <c r="U12" s="155">
        <v>2</v>
      </c>
      <c r="V12" s="155">
        <v>2</v>
      </c>
      <c r="W12" s="155">
        <v>2</v>
      </c>
    </row>
    <row r="13" spans="1:23" ht="15">
      <c r="A13" s="171"/>
      <c r="B13" s="57" t="s">
        <v>236</v>
      </c>
      <c r="C13" s="171" t="s">
        <v>230</v>
      </c>
      <c r="D13" s="180">
        <v>12</v>
      </c>
      <c r="E13" s="180">
        <v>21</v>
      </c>
      <c r="F13" s="180">
        <v>21</v>
      </c>
      <c r="G13" s="173">
        <v>21</v>
      </c>
      <c r="H13" s="173">
        <v>22</v>
      </c>
      <c r="I13" s="173">
        <v>22</v>
      </c>
      <c r="J13" s="174">
        <v>21</v>
      </c>
      <c r="K13" s="174">
        <v>22</v>
      </c>
      <c r="L13" s="175">
        <v>22</v>
      </c>
      <c r="M13" s="175">
        <v>22</v>
      </c>
      <c r="N13" s="175">
        <v>22</v>
      </c>
      <c r="O13" s="175">
        <v>22</v>
      </c>
      <c r="P13" s="176">
        <v>22</v>
      </c>
      <c r="Q13" s="177">
        <v>22</v>
      </c>
      <c r="R13" s="176">
        <v>22</v>
      </c>
      <c r="S13" s="154">
        <v>22</v>
      </c>
      <c r="T13" s="154">
        <v>22</v>
      </c>
      <c r="U13" s="155">
        <v>24</v>
      </c>
      <c r="V13" s="155">
        <v>24</v>
      </c>
      <c r="W13" s="155">
        <v>24</v>
      </c>
    </row>
    <row r="14" spans="1:23" ht="15">
      <c r="A14" s="171"/>
      <c r="B14" s="178" t="s">
        <v>237</v>
      </c>
      <c r="C14" s="171" t="s">
        <v>230</v>
      </c>
      <c r="D14" s="180">
        <v>1</v>
      </c>
      <c r="E14" s="180">
        <v>2</v>
      </c>
      <c r="F14" s="180">
        <v>4</v>
      </c>
      <c r="G14" s="173">
        <v>4</v>
      </c>
      <c r="H14" s="173">
        <v>3</v>
      </c>
      <c r="I14" s="173">
        <v>3</v>
      </c>
      <c r="J14" s="174">
        <v>3</v>
      </c>
      <c r="K14" s="174">
        <v>3</v>
      </c>
      <c r="L14" s="175">
        <v>3</v>
      </c>
      <c r="M14" s="175">
        <v>3</v>
      </c>
      <c r="N14" s="175">
        <v>3</v>
      </c>
      <c r="O14" s="175">
        <v>3</v>
      </c>
      <c r="P14" s="176">
        <v>3</v>
      </c>
      <c r="Q14" s="177">
        <v>3</v>
      </c>
      <c r="R14" s="176">
        <v>3</v>
      </c>
      <c r="S14" s="154">
        <v>3</v>
      </c>
      <c r="T14" s="154">
        <v>3</v>
      </c>
      <c r="U14" s="155">
        <v>3</v>
      </c>
      <c r="V14" s="155">
        <v>3</v>
      </c>
      <c r="W14" s="155">
        <v>3</v>
      </c>
    </row>
    <row r="15" spans="1:23" ht="15">
      <c r="A15" s="171"/>
      <c r="B15" s="181" t="s">
        <v>238</v>
      </c>
      <c r="C15" s="182" t="s">
        <v>230</v>
      </c>
      <c r="D15" s="179" t="s">
        <v>64</v>
      </c>
      <c r="E15" s="179" t="s">
        <v>64</v>
      </c>
      <c r="F15" s="179" t="s">
        <v>64</v>
      </c>
      <c r="G15" s="179" t="s">
        <v>64</v>
      </c>
      <c r="H15" s="179" t="s">
        <v>64</v>
      </c>
      <c r="I15" s="179" t="s">
        <v>64</v>
      </c>
      <c r="J15" s="183" t="s">
        <v>64</v>
      </c>
      <c r="K15" s="183" t="s">
        <v>64</v>
      </c>
      <c r="L15" s="175">
        <v>1</v>
      </c>
      <c r="M15" s="175">
        <v>1</v>
      </c>
      <c r="N15" s="175">
        <v>1</v>
      </c>
      <c r="O15" s="175"/>
      <c r="P15" s="176">
        <v>1</v>
      </c>
      <c r="Q15" s="177">
        <v>1</v>
      </c>
      <c r="R15" s="176">
        <v>1</v>
      </c>
      <c r="S15" s="154">
        <v>1</v>
      </c>
      <c r="T15" s="154">
        <v>1</v>
      </c>
      <c r="U15" s="155">
        <v>1</v>
      </c>
      <c r="V15" s="155">
        <v>1</v>
      </c>
      <c r="W15" s="155">
        <v>1</v>
      </c>
    </row>
    <row r="16" spans="1:23" ht="15">
      <c r="A16" s="171"/>
      <c r="B16" s="181" t="s">
        <v>239</v>
      </c>
      <c r="C16" s="182" t="s">
        <v>230</v>
      </c>
      <c r="D16" s="180">
        <v>4</v>
      </c>
      <c r="E16" s="180">
        <v>5</v>
      </c>
      <c r="F16" s="180">
        <v>5</v>
      </c>
      <c r="G16" s="173">
        <v>5</v>
      </c>
      <c r="H16" s="173">
        <v>5</v>
      </c>
      <c r="I16" s="173">
        <v>5</v>
      </c>
      <c r="J16" s="174">
        <v>5</v>
      </c>
      <c r="K16" s="174">
        <v>5</v>
      </c>
      <c r="L16" s="175">
        <v>5</v>
      </c>
      <c r="M16" s="175">
        <v>5</v>
      </c>
      <c r="N16" s="175">
        <v>5</v>
      </c>
      <c r="O16" s="175">
        <v>5</v>
      </c>
      <c r="P16" s="176">
        <v>5</v>
      </c>
      <c r="Q16" s="177">
        <v>5</v>
      </c>
      <c r="R16" s="176">
        <v>5</v>
      </c>
      <c r="S16" s="154">
        <v>5</v>
      </c>
      <c r="T16" s="154">
        <v>5</v>
      </c>
      <c r="U16" s="155">
        <v>5</v>
      </c>
      <c r="V16" s="155">
        <v>5</v>
      </c>
      <c r="W16" s="155">
        <v>5</v>
      </c>
    </row>
    <row r="17" spans="1:23" ht="15">
      <c r="A17" s="169"/>
      <c r="B17" s="169" t="s">
        <v>240</v>
      </c>
      <c r="C17" s="169"/>
      <c r="D17" s="184"/>
      <c r="E17" s="184"/>
      <c r="F17" s="184"/>
      <c r="G17" s="173"/>
      <c r="H17" s="173"/>
      <c r="I17" s="185"/>
      <c r="J17" s="174"/>
      <c r="K17" s="174"/>
      <c r="L17" s="175"/>
      <c r="M17" s="175"/>
      <c r="N17" s="175"/>
      <c r="O17" s="175"/>
      <c r="P17" s="176"/>
      <c r="Q17" s="177"/>
      <c r="R17" s="176"/>
      <c r="S17" s="154"/>
      <c r="T17" s="154"/>
      <c r="U17" s="155"/>
      <c r="V17" s="155"/>
      <c r="W17" s="346"/>
    </row>
    <row r="18" spans="1:23" ht="15">
      <c r="A18" s="171"/>
      <c r="B18" s="172" t="s">
        <v>241</v>
      </c>
      <c r="C18" s="171" t="s">
        <v>242</v>
      </c>
      <c r="D18" s="173">
        <v>24</v>
      </c>
      <c r="E18" s="173">
        <v>33</v>
      </c>
      <c r="F18" s="173">
        <v>35</v>
      </c>
      <c r="G18" s="173">
        <v>35</v>
      </c>
      <c r="H18" s="173">
        <v>35</v>
      </c>
      <c r="I18" s="173">
        <v>35</v>
      </c>
      <c r="J18" s="174">
        <v>35</v>
      </c>
      <c r="K18" s="174">
        <v>35</v>
      </c>
      <c r="L18" s="175">
        <v>35</v>
      </c>
      <c r="M18" s="175">
        <v>35</v>
      </c>
      <c r="N18" s="175">
        <v>35</v>
      </c>
      <c r="O18" s="175">
        <v>35</v>
      </c>
      <c r="P18" s="176">
        <v>35</v>
      </c>
      <c r="Q18" s="177">
        <v>35</v>
      </c>
      <c r="R18" s="176">
        <v>35</v>
      </c>
      <c r="S18" s="154">
        <v>35</v>
      </c>
      <c r="T18" s="154">
        <v>35</v>
      </c>
      <c r="U18" s="155">
        <v>36</v>
      </c>
      <c r="V18" s="155">
        <v>36</v>
      </c>
      <c r="W18" s="155">
        <v>36</v>
      </c>
    </row>
    <row r="19" spans="1:23" ht="15">
      <c r="A19" s="171"/>
      <c r="B19" s="178" t="s">
        <v>231</v>
      </c>
      <c r="C19" s="171" t="s">
        <v>242</v>
      </c>
      <c r="D19" s="173">
        <v>5</v>
      </c>
      <c r="E19" s="173">
        <v>6</v>
      </c>
      <c r="F19" s="173">
        <v>6</v>
      </c>
      <c r="G19" s="173">
        <v>6</v>
      </c>
      <c r="H19" s="173">
        <v>6</v>
      </c>
      <c r="I19" s="173">
        <v>6</v>
      </c>
      <c r="J19" s="174">
        <v>6</v>
      </c>
      <c r="K19" s="174">
        <v>6</v>
      </c>
      <c r="L19" s="175">
        <v>5</v>
      </c>
      <c r="M19" s="175">
        <v>5</v>
      </c>
      <c r="N19" s="175">
        <v>5</v>
      </c>
      <c r="O19" s="175">
        <v>5</v>
      </c>
      <c r="P19" s="176">
        <v>5</v>
      </c>
      <c r="Q19" s="177">
        <v>5</v>
      </c>
      <c r="R19" s="176">
        <v>5</v>
      </c>
      <c r="S19" s="154">
        <v>5</v>
      </c>
      <c r="T19" s="154">
        <v>5</v>
      </c>
      <c r="U19" s="155">
        <v>5</v>
      </c>
      <c r="V19" s="155">
        <v>5</v>
      </c>
      <c r="W19" s="155">
        <v>5</v>
      </c>
    </row>
    <row r="20" spans="1:23" ht="15">
      <c r="A20" s="171"/>
      <c r="B20" s="172" t="s">
        <v>232</v>
      </c>
      <c r="C20" s="171" t="s">
        <v>242</v>
      </c>
      <c r="D20" s="180">
        <v>1</v>
      </c>
      <c r="E20" s="180">
        <v>1</v>
      </c>
      <c r="F20" s="180">
        <v>1</v>
      </c>
      <c r="G20" s="173">
        <v>1</v>
      </c>
      <c r="H20" s="173">
        <v>1</v>
      </c>
      <c r="I20" s="173">
        <v>1</v>
      </c>
      <c r="J20" s="174">
        <v>1</v>
      </c>
      <c r="K20" s="174">
        <v>1</v>
      </c>
      <c r="L20" s="175">
        <v>1</v>
      </c>
      <c r="M20" s="175">
        <v>1</v>
      </c>
      <c r="N20" s="175">
        <v>1</v>
      </c>
      <c r="O20" s="175">
        <v>1</v>
      </c>
      <c r="P20" s="176">
        <v>1</v>
      </c>
      <c r="Q20" s="177">
        <v>1</v>
      </c>
      <c r="R20" s="176">
        <v>1</v>
      </c>
      <c r="S20" s="154">
        <v>1</v>
      </c>
      <c r="T20" s="154">
        <v>1</v>
      </c>
      <c r="U20" s="155">
        <v>1</v>
      </c>
      <c r="V20" s="155">
        <v>1</v>
      </c>
      <c r="W20" s="155">
        <v>1</v>
      </c>
    </row>
    <row r="21" spans="1:23" ht="15">
      <c r="A21" s="171"/>
      <c r="B21" s="172" t="s">
        <v>233</v>
      </c>
      <c r="C21" s="171" t="s">
        <v>242</v>
      </c>
      <c r="D21" s="180">
        <v>1</v>
      </c>
      <c r="E21" s="180">
        <v>2</v>
      </c>
      <c r="F21" s="180">
        <v>2</v>
      </c>
      <c r="G21" s="173">
        <v>2</v>
      </c>
      <c r="H21" s="173">
        <v>2</v>
      </c>
      <c r="I21" s="173">
        <v>2</v>
      </c>
      <c r="J21" s="174">
        <v>2</v>
      </c>
      <c r="K21" s="174">
        <v>2</v>
      </c>
      <c r="L21" s="175">
        <v>1</v>
      </c>
      <c r="M21" s="175">
        <v>1</v>
      </c>
      <c r="N21" s="175">
        <v>1</v>
      </c>
      <c r="O21" s="175">
        <v>1</v>
      </c>
      <c r="P21" s="176">
        <v>1</v>
      </c>
      <c r="Q21" s="177">
        <v>1</v>
      </c>
      <c r="R21" s="176">
        <v>1</v>
      </c>
      <c r="S21" s="154">
        <v>1</v>
      </c>
      <c r="T21" s="154">
        <v>1</v>
      </c>
      <c r="U21" s="155">
        <v>1</v>
      </c>
      <c r="V21" s="155">
        <v>1</v>
      </c>
      <c r="W21" s="155">
        <v>1</v>
      </c>
    </row>
    <row r="22" spans="1:23" ht="15">
      <c r="A22" s="171"/>
      <c r="B22" s="172" t="s">
        <v>234</v>
      </c>
      <c r="C22" s="171" t="s">
        <v>242</v>
      </c>
      <c r="D22" s="180">
        <v>1</v>
      </c>
      <c r="E22" s="180">
        <v>1</v>
      </c>
      <c r="F22" s="180">
        <v>1</v>
      </c>
      <c r="G22" s="173">
        <v>1</v>
      </c>
      <c r="H22" s="173">
        <v>1</v>
      </c>
      <c r="I22" s="173">
        <v>1</v>
      </c>
      <c r="J22" s="174">
        <v>1</v>
      </c>
      <c r="K22" s="174">
        <v>1</v>
      </c>
      <c r="L22" s="175">
        <v>1</v>
      </c>
      <c r="M22" s="175">
        <v>1</v>
      </c>
      <c r="N22" s="175">
        <v>1</v>
      </c>
      <c r="O22" s="175">
        <v>1</v>
      </c>
      <c r="P22" s="176">
        <v>1</v>
      </c>
      <c r="Q22" s="177">
        <v>1</v>
      </c>
      <c r="R22" s="176">
        <v>1</v>
      </c>
      <c r="S22" s="154">
        <v>1</v>
      </c>
      <c r="T22" s="154">
        <v>1</v>
      </c>
      <c r="U22" s="155">
        <v>1</v>
      </c>
      <c r="V22" s="155">
        <v>1</v>
      </c>
      <c r="W22" s="155">
        <v>1</v>
      </c>
    </row>
    <row r="23" spans="1:23" ht="15">
      <c r="A23" s="171"/>
      <c r="B23" s="172" t="s">
        <v>243</v>
      </c>
      <c r="C23" s="171" t="s">
        <v>242</v>
      </c>
      <c r="D23" s="180">
        <v>2</v>
      </c>
      <c r="E23" s="180">
        <v>2</v>
      </c>
      <c r="F23" s="180">
        <v>2</v>
      </c>
      <c r="G23" s="173">
        <v>2</v>
      </c>
      <c r="H23" s="173">
        <v>2</v>
      </c>
      <c r="I23" s="173">
        <v>2</v>
      </c>
      <c r="J23" s="174">
        <v>2</v>
      </c>
      <c r="K23" s="174">
        <v>2</v>
      </c>
      <c r="L23" s="175">
        <v>2</v>
      </c>
      <c r="M23" s="175">
        <v>2</v>
      </c>
      <c r="N23" s="175">
        <v>2</v>
      </c>
      <c r="O23" s="175">
        <v>2</v>
      </c>
      <c r="P23" s="176">
        <v>2</v>
      </c>
      <c r="Q23" s="177">
        <v>2</v>
      </c>
      <c r="R23" s="176">
        <v>2</v>
      </c>
      <c r="S23" s="154">
        <v>2</v>
      </c>
      <c r="T23" s="154">
        <v>2</v>
      </c>
      <c r="U23" s="155">
        <v>2</v>
      </c>
      <c r="V23" s="155">
        <v>2</v>
      </c>
      <c r="W23" s="155">
        <v>2</v>
      </c>
    </row>
    <row r="24" spans="1:23" ht="15">
      <c r="A24" s="171"/>
      <c r="B24" s="57" t="s">
        <v>236</v>
      </c>
      <c r="C24" s="182" t="s">
        <v>242</v>
      </c>
      <c r="D24" s="179">
        <v>12</v>
      </c>
      <c r="E24" s="179">
        <v>20</v>
      </c>
      <c r="F24" s="179">
        <v>20</v>
      </c>
      <c r="G24" s="173">
        <v>20</v>
      </c>
      <c r="H24" s="173">
        <v>21</v>
      </c>
      <c r="I24" s="173">
        <v>21</v>
      </c>
      <c r="J24" s="174">
        <v>21</v>
      </c>
      <c r="K24" s="174">
        <v>21</v>
      </c>
      <c r="L24" s="175">
        <v>21</v>
      </c>
      <c r="M24" s="175">
        <v>21</v>
      </c>
      <c r="N24" s="175">
        <v>21</v>
      </c>
      <c r="O24" s="175">
        <v>21</v>
      </c>
      <c r="P24" s="176">
        <v>21</v>
      </c>
      <c r="Q24" s="177">
        <v>21</v>
      </c>
      <c r="R24" s="176">
        <v>21</v>
      </c>
      <c r="S24" s="154">
        <v>21</v>
      </c>
      <c r="T24" s="154">
        <v>21</v>
      </c>
      <c r="U24" s="155">
        <v>22</v>
      </c>
      <c r="V24" s="155">
        <v>22</v>
      </c>
      <c r="W24" s="155">
        <v>22</v>
      </c>
    </row>
    <row r="25" spans="1:23" ht="15">
      <c r="A25" s="171"/>
      <c r="B25" s="178" t="s">
        <v>237</v>
      </c>
      <c r="C25" s="182" t="s">
        <v>242</v>
      </c>
      <c r="D25" s="180">
        <v>1</v>
      </c>
      <c r="E25" s="180">
        <v>2</v>
      </c>
      <c r="F25" s="180">
        <v>4</v>
      </c>
      <c r="G25" s="173">
        <v>4</v>
      </c>
      <c r="H25" s="173">
        <v>3</v>
      </c>
      <c r="I25" s="173">
        <v>3</v>
      </c>
      <c r="J25" s="174">
        <v>3</v>
      </c>
      <c r="K25" s="174">
        <v>3</v>
      </c>
      <c r="L25" s="175">
        <v>3</v>
      </c>
      <c r="M25" s="175">
        <v>3</v>
      </c>
      <c r="N25" s="175">
        <v>3</v>
      </c>
      <c r="O25" s="175">
        <v>3</v>
      </c>
      <c r="P25" s="176">
        <v>3</v>
      </c>
      <c r="Q25" s="177">
        <v>3</v>
      </c>
      <c r="R25" s="176">
        <v>3</v>
      </c>
      <c r="S25" s="154">
        <v>3</v>
      </c>
      <c r="T25" s="154">
        <v>3</v>
      </c>
      <c r="U25" s="155">
        <v>3</v>
      </c>
      <c r="V25" s="155">
        <v>3</v>
      </c>
      <c r="W25" s="155">
        <v>3</v>
      </c>
    </row>
    <row r="26" spans="1:23" ht="15">
      <c r="A26" s="171"/>
      <c r="B26" s="181" t="s">
        <v>238</v>
      </c>
      <c r="C26" s="182" t="s">
        <v>242</v>
      </c>
      <c r="D26" s="180" t="s">
        <v>64</v>
      </c>
      <c r="E26" s="180" t="s">
        <v>64</v>
      </c>
      <c r="F26" s="180" t="s">
        <v>64</v>
      </c>
      <c r="G26" s="180" t="s">
        <v>64</v>
      </c>
      <c r="H26" s="180" t="s">
        <v>64</v>
      </c>
      <c r="I26" s="180" t="s">
        <v>64</v>
      </c>
      <c r="J26" s="186" t="s">
        <v>64</v>
      </c>
      <c r="K26" s="186" t="s">
        <v>64</v>
      </c>
      <c r="L26" s="175">
        <v>1</v>
      </c>
      <c r="M26" s="175">
        <v>1</v>
      </c>
      <c r="N26" s="175">
        <v>1</v>
      </c>
      <c r="O26" s="175">
        <v>1</v>
      </c>
      <c r="P26" s="176">
        <v>1</v>
      </c>
      <c r="Q26" s="177">
        <v>1</v>
      </c>
      <c r="R26" s="176">
        <v>1</v>
      </c>
      <c r="S26" s="154">
        <v>1</v>
      </c>
      <c r="T26" s="154">
        <v>1</v>
      </c>
      <c r="U26" s="155">
        <v>1</v>
      </c>
      <c r="V26" s="155">
        <v>1</v>
      </c>
      <c r="W26" s="155">
        <v>1</v>
      </c>
    </row>
    <row r="27" spans="1:23" ht="15">
      <c r="A27" s="171"/>
      <c r="B27" s="181" t="s">
        <v>239</v>
      </c>
      <c r="C27" s="182" t="s">
        <v>242</v>
      </c>
      <c r="D27" s="180">
        <v>6</v>
      </c>
      <c r="E27" s="180">
        <v>5</v>
      </c>
      <c r="F27" s="180">
        <v>5</v>
      </c>
      <c r="G27" s="173">
        <v>5</v>
      </c>
      <c r="H27" s="173">
        <v>5</v>
      </c>
      <c r="I27" s="173">
        <v>5</v>
      </c>
      <c r="J27" s="174">
        <v>5</v>
      </c>
      <c r="K27" s="174">
        <v>5</v>
      </c>
      <c r="L27" s="175">
        <v>5</v>
      </c>
      <c r="M27" s="175">
        <v>5</v>
      </c>
      <c r="N27" s="175">
        <v>5</v>
      </c>
      <c r="O27" s="175">
        <v>5</v>
      </c>
      <c r="P27" s="176">
        <v>5</v>
      </c>
      <c r="Q27" s="177">
        <v>5</v>
      </c>
      <c r="R27" s="176">
        <v>5</v>
      </c>
      <c r="S27" s="154">
        <v>5</v>
      </c>
      <c r="T27" s="154">
        <v>5</v>
      </c>
      <c r="U27" s="155">
        <v>5</v>
      </c>
      <c r="V27" s="155">
        <v>5</v>
      </c>
      <c r="W27" s="155">
        <v>5</v>
      </c>
    </row>
    <row r="28" spans="1:23" s="192" customFormat="1" ht="32.25" customHeight="1">
      <c r="A28" s="169"/>
      <c r="B28" s="63" t="s">
        <v>244</v>
      </c>
      <c r="C28" s="182" t="s">
        <v>230</v>
      </c>
      <c r="D28" s="184"/>
      <c r="E28" s="184"/>
      <c r="F28" s="184"/>
      <c r="G28" s="179"/>
      <c r="H28" s="179"/>
      <c r="I28" s="179"/>
      <c r="J28" s="183"/>
      <c r="K28" s="183"/>
      <c r="L28" s="187"/>
      <c r="M28" s="187"/>
      <c r="N28" s="187"/>
      <c r="O28" s="187"/>
      <c r="P28" s="188"/>
      <c r="Q28" s="189"/>
      <c r="R28" s="188"/>
      <c r="S28" s="190"/>
      <c r="T28" s="190"/>
      <c r="U28" s="191"/>
      <c r="V28" s="191"/>
      <c r="W28" s="347"/>
    </row>
    <row r="29" spans="1:23" ht="15">
      <c r="A29" s="171"/>
      <c r="B29" s="172" t="s">
        <v>241</v>
      </c>
      <c r="C29" s="171" t="s">
        <v>230</v>
      </c>
      <c r="D29" s="184" t="s">
        <v>64</v>
      </c>
      <c r="E29" s="184">
        <v>1</v>
      </c>
      <c r="F29" s="184">
        <v>5</v>
      </c>
      <c r="G29" s="173">
        <v>7</v>
      </c>
      <c r="H29" s="173">
        <v>6</v>
      </c>
      <c r="I29" s="173">
        <v>6</v>
      </c>
      <c r="J29" s="174">
        <v>7</v>
      </c>
      <c r="K29" s="174">
        <v>5</v>
      </c>
      <c r="L29" s="175">
        <v>6</v>
      </c>
      <c r="M29" s="175">
        <v>6</v>
      </c>
      <c r="N29" s="175">
        <v>5</v>
      </c>
      <c r="O29" s="175">
        <v>5</v>
      </c>
      <c r="P29" s="176">
        <v>6</v>
      </c>
      <c r="Q29" s="177">
        <v>6</v>
      </c>
      <c r="R29" s="176">
        <v>6</v>
      </c>
      <c r="S29" s="154">
        <v>6</v>
      </c>
      <c r="T29" s="154">
        <v>6</v>
      </c>
      <c r="U29" s="155">
        <v>6</v>
      </c>
      <c r="V29" s="155">
        <v>7</v>
      </c>
      <c r="W29" s="155">
        <v>7</v>
      </c>
    </row>
    <row r="30" spans="1:23" ht="15">
      <c r="A30" s="171"/>
      <c r="B30" s="178" t="s">
        <v>231</v>
      </c>
      <c r="C30" s="171" t="s">
        <v>230</v>
      </c>
      <c r="D30" s="184" t="s">
        <v>64</v>
      </c>
      <c r="E30" s="184" t="s">
        <v>64</v>
      </c>
      <c r="F30" s="184">
        <v>2</v>
      </c>
      <c r="G30" s="173">
        <v>2</v>
      </c>
      <c r="H30" s="173">
        <v>1</v>
      </c>
      <c r="I30" s="173">
        <v>1</v>
      </c>
      <c r="J30" s="174">
        <v>1</v>
      </c>
      <c r="K30" s="174">
        <v>1</v>
      </c>
      <c r="L30" s="175">
        <v>1</v>
      </c>
      <c r="M30" s="175"/>
      <c r="N30" s="175"/>
      <c r="O30" s="175"/>
      <c r="P30" s="176"/>
      <c r="Q30" s="177"/>
      <c r="R30" s="176"/>
      <c r="S30" s="154"/>
      <c r="T30" s="154"/>
      <c r="U30" s="155"/>
      <c r="V30" s="155"/>
      <c r="W30" s="155"/>
    </row>
    <row r="31" spans="1:23" ht="15">
      <c r="A31" s="171"/>
      <c r="B31" s="172" t="s">
        <v>232</v>
      </c>
      <c r="C31" s="171" t="s">
        <v>230</v>
      </c>
      <c r="D31" s="184" t="s">
        <v>64</v>
      </c>
      <c r="E31" s="184" t="s">
        <v>64</v>
      </c>
      <c r="F31" s="184">
        <v>1</v>
      </c>
      <c r="G31" s="173">
        <v>1</v>
      </c>
      <c r="H31" s="173">
        <v>1</v>
      </c>
      <c r="I31" s="173">
        <v>1</v>
      </c>
      <c r="J31" s="174">
        <v>1</v>
      </c>
      <c r="K31" s="174">
        <v>1</v>
      </c>
      <c r="L31" s="175">
        <v>1</v>
      </c>
      <c r="M31" s="175">
        <v>1</v>
      </c>
      <c r="N31" s="175">
        <v>1</v>
      </c>
      <c r="O31" s="175">
        <v>1</v>
      </c>
      <c r="P31" s="176">
        <v>1</v>
      </c>
      <c r="Q31" s="177">
        <v>1</v>
      </c>
      <c r="R31" s="176">
        <v>1</v>
      </c>
      <c r="S31" s="154">
        <v>1</v>
      </c>
      <c r="T31" s="154">
        <v>1</v>
      </c>
      <c r="U31" s="155">
        <v>1</v>
      </c>
      <c r="V31" s="155">
        <v>1</v>
      </c>
      <c r="W31" s="155">
        <v>1</v>
      </c>
    </row>
    <row r="32" spans="1:23" ht="15">
      <c r="A32" s="171"/>
      <c r="B32" s="172" t="s">
        <v>233</v>
      </c>
      <c r="C32" s="171" t="s">
        <v>230</v>
      </c>
      <c r="D32" s="184" t="s">
        <v>64</v>
      </c>
      <c r="E32" s="184" t="s">
        <v>64</v>
      </c>
      <c r="F32" s="184">
        <v>1</v>
      </c>
      <c r="G32" s="173">
        <v>1</v>
      </c>
      <c r="H32" s="184" t="s">
        <v>64</v>
      </c>
      <c r="I32" s="184" t="s">
        <v>64</v>
      </c>
      <c r="J32" s="193" t="s">
        <v>64</v>
      </c>
      <c r="K32" s="193" t="s">
        <v>64</v>
      </c>
      <c r="L32" s="194" t="s">
        <v>64</v>
      </c>
      <c r="M32" s="194" t="s">
        <v>64</v>
      </c>
      <c r="N32" s="194" t="s">
        <v>64</v>
      </c>
      <c r="O32" s="175"/>
      <c r="P32" s="176"/>
      <c r="Q32" s="177"/>
      <c r="R32" s="176"/>
      <c r="S32" s="154"/>
      <c r="T32" s="154"/>
      <c r="U32" s="155"/>
      <c r="V32" s="155"/>
      <c r="W32" s="155"/>
    </row>
    <row r="33" spans="1:23" ht="15">
      <c r="A33" s="171"/>
      <c r="B33" s="172" t="s">
        <v>234</v>
      </c>
      <c r="C33" s="171" t="s">
        <v>230</v>
      </c>
      <c r="D33" s="184" t="s">
        <v>64</v>
      </c>
      <c r="E33" s="184" t="s">
        <v>64</v>
      </c>
      <c r="F33" s="184" t="s">
        <v>64</v>
      </c>
      <c r="G33" s="184" t="s">
        <v>64</v>
      </c>
      <c r="H33" s="184" t="s">
        <v>64</v>
      </c>
      <c r="I33" s="184" t="s">
        <v>64</v>
      </c>
      <c r="J33" s="193" t="s">
        <v>64</v>
      </c>
      <c r="K33" s="193" t="s">
        <v>64</v>
      </c>
      <c r="L33" s="194" t="s">
        <v>64</v>
      </c>
      <c r="M33" s="194" t="s">
        <v>64</v>
      </c>
      <c r="N33" s="194" t="s">
        <v>64</v>
      </c>
      <c r="O33" s="175"/>
      <c r="P33" s="176"/>
      <c r="Q33" s="177"/>
      <c r="R33" s="176"/>
      <c r="S33" s="154"/>
      <c r="T33" s="154"/>
      <c r="U33" s="155"/>
      <c r="V33" s="155"/>
      <c r="W33" s="155"/>
    </row>
    <row r="34" spans="1:23" ht="15">
      <c r="A34" s="171"/>
      <c r="B34" s="172" t="s">
        <v>243</v>
      </c>
      <c r="C34" s="171" t="s">
        <v>230</v>
      </c>
      <c r="D34" s="184" t="s">
        <v>64</v>
      </c>
      <c r="E34" s="184" t="s">
        <v>64</v>
      </c>
      <c r="F34" s="184" t="s">
        <v>64</v>
      </c>
      <c r="G34" s="184" t="s">
        <v>64</v>
      </c>
      <c r="H34" s="184" t="s">
        <v>64</v>
      </c>
      <c r="I34" s="184" t="s">
        <v>64</v>
      </c>
      <c r="J34" s="193" t="s">
        <v>64</v>
      </c>
      <c r="K34" s="193" t="s">
        <v>64</v>
      </c>
      <c r="L34" s="194" t="s">
        <v>64</v>
      </c>
      <c r="M34" s="194" t="s">
        <v>64</v>
      </c>
      <c r="N34" s="194" t="s">
        <v>64</v>
      </c>
      <c r="O34" s="175"/>
      <c r="P34" s="176"/>
      <c r="Q34" s="177"/>
      <c r="R34" s="176"/>
      <c r="S34" s="154"/>
      <c r="T34" s="154"/>
      <c r="U34" s="155"/>
      <c r="V34" s="155"/>
      <c r="W34" s="155"/>
    </row>
    <row r="35" spans="1:23" ht="15">
      <c r="A35" s="171"/>
      <c r="B35" s="57" t="s">
        <v>236</v>
      </c>
      <c r="C35" s="171" t="s">
        <v>230</v>
      </c>
      <c r="D35" s="184" t="s">
        <v>64</v>
      </c>
      <c r="E35" s="184" t="s">
        <v>64</v>
      </c>
      <c r="F35" s="184">
        <v>1</v>
      </c>
      <c r="G35" s="173">
        <v>3</v>
      </c>
      <c r="H35" s="173">
        <v>3</v>
      </c>
      <c r="I35" s="173">
        <v>3</v>
      </c>
      <c r="J35" s="174">
        <v>4</v>
      </c>
      <c r="K35" s="174">
        <v>2</v>
      </c>
      <c r="L35" s="175">
        <v>3</v>
      </c>
      <c r="M35" s="175">
        <v>3</v>
      </c>
      <c r="N35" s="175">
        <v>2</v>
      </c>
      <c r="O35" s="175">
        <v>2</v>
      </c>
      <c r="P35" s="176">
        <v>2</v>
      </c>
      <c r="Q35" s="177">
        <v>2</v>
      </c>
      <c r="R35" s="176">
        <v>2</v>
      </c>
      <c r="S35" s="154">
        <v>2</v>
      </c>
      <c r="T35" s="154">
        <v>3</v>
      </c>
      <c r="U35" s="155">
        <v>3</v>
      </c>
      <c r="V35" s="155">
        <v>4</v>
      </c>
      <c r="W35" s="155">
        <v>4</v>
      </c>
    </row>
    <row r="36" spans="1:23" ht="15">
      <c r="A36" s="171"/>
      <c r="B36" s="178" t="s">
        <v>237</v>
      </c>
      <c r="C36" s="182" t="s">
        <v>230</v>
      </c>
      <c r="D36" s="184" t="s">
        <v>64</v>
      </c>
      <c r="E36" s="184" t="s">
        <v>64</v>
      </c>
      <c r="F36" s="184" t="s">
        <v>64</v>
      </c>
      <c r="G36" s="184" t="s">
        <v>64</v>
      </c>
      <c r="H36" s="184" t="s">
        <v>64</v>
      </c>
      <c r="I36" s="184" t="s">
        <v>64</v>
      </c>
      <c r="J36" s="193" t="s">
        <v>64</v>
      </c>
      <c r="K36" s="193" t="s">
        <v>64</v>
      </c>
      <c r="L36" s="194" t="s">
        <v>64</v>
      </c>
      <c r="M36" s="194" t="s">
        <v>64</v>
      </c>
      <c r="N36" s="194" t="s">
        <v>64</v>
      </c>
      <c r="O36" s="175"/>
      <c r="P36" s="176"/>
      <c r="Q36" s="177"/>
      <c r="R36" s="176"/>
      <c r="S36" s="154"/>
      <c r="T36" s="154"/>
      <c r="U36" s="155"/>
      <c r="V36" s="155"/>
      <c r="W36" s="155"/>
    </row>
    <row r="37" spans="1:23" ht="15">
      <c r="A37" s="171"/>
      <c r="B37" s="181" t="s">
        <v>238</v>
      </c>
      <c r="C37" s="182" t="s">
        <v>230</v>
      </c>
      <c r="D37" s="184" t="s">
        <v>64</v>
      </c>
      <c r="E37" s="184" t="s">
        <v>64</v>
      </c>
      <c r="F37" s="184" t="s">
        <v>64</v>
      </c>
      <c r="G37" s="184" t="s">
        <v>64</v>
      </c>
      <c r="H37" s="184" t="s">
        <v>64</v>
      </c>
      <c r="I37" s="184" t="s">
        <v>64</v>
      </c>
      <c r="J37" s="193" t="s">
        <v>64</v>
      </c>
      <c r="K37" s="193" t="s">
        <v>64</v>
      </c>
      <c r="L37" s="194" t="s">
        <v>64</v>
      </c>
      <c r="M37" s="194" t="s">
        <v>64</v>
      </c>
      <c r="N37" s="194" t="s">
        <v>64</v>
      </c>
      <c r="O37" s="175"/>
      <c r="P37" s="176">
        <v>1</v>
      </c>
      <c r="Q37" s="177">
        <v>1</v>
      </c>
      <c r="R37" s="176">
        <v>1</v>
      </c>
      <c r="S37" s="154">
        <v>1</v>
      </c>
      <c r="T37" s="154">
        <v>1</v>
      </c>
      <c r="U37" s="155">
        <v>1</v>
      </c>
      <c r="V37" s="155">
        <v>1</v>
      </c>
      <c r="W37" s="155">
        <v>1</v>
      </c>
    </row>
    <row r="38" spans="1:23" ht="15">
      <c r="A38" s="171"/>
      <c r="B38" s="181" t="s">
        <v>239</v>
      </c>
      <c r="C38" s="182" t="s">
        <v>230</v>
      </c>
      <c r="D38" s="184" t="s">
        <v>64</v>
      </c>
      <c r="E38" s="184">
        <v>1</v>
      </c>
      <c r="F38" s="184">
        <v>2</v>
      </c>
      <c r="G38" s="173">
        <v>2</v>
      </c>
      <c r="H38" s="173">
        <v>2</v>
      </c>
      <c r="I38" s="173">
        <v>2</v>
      </c>
      <c r="J38" s="174">
        <v>2</v>
      </c>
      <c r="K38" s="174">
        <v>2</v>
      </c>
      <c r="L38" s="175">
        <v>2</v>
      </c>
      <c r="M38" s="175">
        <v>2</v>
      </c>
      <c r="N38" s="175">
        <v>2</v>
      </c>
      <c r="O38" s="175">
        <v>2</v>
      </c>
      <c r="P38" s="176">
        <v>2</v>
      </c>
      <c r="Q38" s="177">
        <v>2</v>
      </c>
      <c r="R38" s="176">
        <v>2</v>
      </c>
      <c r="S38" s="154">
        <v>2</v>
      </c>
      <c r="T38" s="154">
        <v>1</v>
      </c>
      <c r="U38" s="155">
        <v>1</v>
      </c>
      <c r="V38" s="155">
        <v>1</v>
      </c>
      <c r="W38" s="155">
        <v>1</v>
      </c>
    </row>
    <row r="39" spans="1:23" ht="15">
      <c r="A39" s="195"/>
      <c r="B39" s="81" t="s">
        <v>245</v>
      </c>
      <c r="C39" s="195"/>
      <c r="D39" s="196"/>
      <c r="E39" s="196"/>
      <c r="F39" s="196"/>
      <c r="G39" s="173"/>
      <c r="H39" s="173"/>
      <c r="I39" s="173"/>
      <c r="J39" s="174"/>
      <c r="K39" s="174"/>
      <c r="L39" s="175"/>
      <c r="M39" s="175"/>
      <c r="N39" s="175"/>
      <c r="O39" s="175"/>
      <c r="P39" s="176"/>
      <c r="Q39" s="177"/>
      <c r="R39" s="176"/>
      <c r="S39" s="154"/>
      <c r="T39" s="154"/>
      <c r="U39" s="155"/>
      <c r="V39" s="155"/>
      <c r="W39" s="155"/>
    </row>
    <row r="40" spans="1:23" ht="15">
      <c r="A40" s="171"/>
      <c r="B40" s="197" t="s">
        <v>246</v>
      </c>
      <c r="C40" s="171" t="s">
        <v>230</v>
      </c>
      <c r="D40" s="180">
        <v>14</v>
      </c>
      <c r="E40" s="180">
        <v>21</v>
      </c>
      <c r="F40" s="180">
        <v>24</v>
      </c>
      <c r="G40" s="173">
        <v>27</v>
      </c>
      <c r="H40" s="173">
        <v>27</v>
      </c>
      <c r="I40" s="173">
        <v>27</v>
      </c>
      <c r="J40" s="174">
        <v>26</v>
      </c>
      <c r="K40" s="174">
        <v>30</v>
      </c>
      <c r="L40" s="175">
        <v>31</v>
      </c>
      <c r="M40" s="175">
        <v>32</v>
      </c>
      <c r="N40" s="175">
        <v>32</v>
      </c>
      <c r="O40" s="175">
        <v>30</v>
      </c>
      <c r="P40" s="176">
        <v>31</v>
      </c>
      <c r="Q40" s="177">
        <v>31</v>
      </c>
      <c r="R40" s="176">
        <v>32</v>
      </c>
      <c r="S40" s="154">
        <v>32</v>
      </c>
      <c r="T40" s="154">
        <v>32</v>
      </c>
      <c r="U40" s="155">
        <v>34</v>
      </c>
      <c r="V40" s="155">
        <v>34</v>
      </c>
      <c r="W40" s="155">
        <v>34</v>
      </c>
    </row>
    <row r="41" spans="1:23" ht="15">
      <c r="A41" s="171"/>
      <c r="B41" s="197" t="s">
        <v>247</v>
      </c>
      <c r="C41" s="182" t="s">
        <v>230</v>
      </c>
      <c r="D41" s="180">
        <v>8</v>
      </c>
      <c r="E41" s="180">
        <v>11</v>
      </c>
      <c r="F41" s="180">
        <v>16</v>
      </c>
      <c r="G41" s="173">
        <v>9</v>
      </c>
      <c r="H41" s="173">
        <v>9</v>
      </c>
      <c r="I41" s="173">
        <v>9</v>
      </c>
      <c r="J41" s="174">
        <v>9</v>
      </c>
      <c r="K41" s="174">
        <v>6</v>
      </c>
      <c r="L41" s="175">
        <v>5</v>
      </c>
      <c r="M41" s="175">
        <v>4</v>
      </c>
      <c r="N41" s="175">
        <v>4</v>
      </c>
      <c r="O41" s="175">
        <v>5</v>
      </c>
      <c r="P41" s="176">
        <v>5</v>
      </c>
      <c r="Q41" s="177">
        <v>5</v>
      </c>
      <c r="R41" s="176">
        <v>4</v>
      </c>
      <c r="S41" s="154">
        <v>4</v>
      </c>
      <c r="T41" s="154">
        <v>3</v>
      </c>
      <c r="U41" s="155">
        <v>3</v>
      </c>
      <c r="V41" s="155">
        <v>4</v>
      </c>
      <c r="W41" s="155">
        <v>4</v>
      </c>
    </row>
    <row r="42" spans="1:23" ht="15">
      <c r="A42" s="171"/>
      <c r="B42" s="197" t="s">
        <v>248</v>
      </c>
      <c r="C42" s="171" t="s">
        <v>230</v>
      </c>
      <c r="D42" s="180">
        <v>4</v>
      </c>
      <c r="E42" s="180">
        <v>6</v>
      </c>
      <c r="F42" s="180">
        <v>7</v>
      </c>
      <c r="G42" s="173">
        <v>5</v>
      </c>
      <c r="H42" s="173">
        <v>5</v>
      </c>
      <c r="I42" s="173">
        <v>5</v>
      </c>
      <c r="J42" s="174">
        <v>5</v>
      </c>
      <c r="K42" s="174">
        <v>3</v>
      </c>
      <c r="L42" s="175">
        <v>3</v>
      </c>
      <c r="M42" s="175">
        <v>1</v>
      </c>
      <c r="N42" s="194" t="s">
        <v>64</v>
      </c>
      <c r="O42" s="175"/>
      <c r="P42" s="176"/>
      <c r="Q42" s="177"/>
      <c r="R42" s="176"/>
      <c r="S42" s="154"/>
      <c r="T42" s="154">
        <v>1</v>
      </c>
      <c r="U42" s="155">
        <v>1</v>
      </c>
      <c r="V42" s="155"/>
      <c r="W42" s="155"/>
    </row>
    <row r="43" spans="1:23" ht="15">
      <c r="A43" s="171"/>
      <c r="B43" s="197" t="s">
        <v>249</v>
      </c>
      <c r="C43" s="171" t="s">
        <v>230</v>
      </c>
      <c r="D43" s="180">
        <v>4</v>
      </c>
      <c r="E43" s="180">
        <v>6</v>
      </c>
      <c r="F43" s="180">
        <v>7</v>
      </c>
      <c r="G43" s="173">
        <v>5</v>
      </c>
      <c r="H43" s="173">
        <v>5</v>
      </c>
      <c r="I43" s="173">
        <v>5</v>
      </c>
      <c r="J43" s="174">
        <v>5</v>
      </c>
      <c r="K43" s="174">
        <v>3</v>
      </c>
      <c r="L43" s="175">
        <v>2</v>
      </c>
      <c r="M43" s="175">
        <v>1</v>
      </c>
      <c r="N43" s="194" t="s">
        <v>64</v>
      </c>
      <c r="O43" s="175"/>
      <c r="P43" s="176"/>
      <c r="Q43" s="177">
        <v>1</v>
      </c>
      <c r="R43" s="176">
        <v>1</v>
      </c>
      <c r="S43" s="154">
        <v>1</v>
      </c>
      <c r="T43" s="154"/>
      <c r="U43" s="155"/>
      <c r="V43" s="155"/>
      <c r="W43" s="155"/>
    </row>
    <row r="44" spans="1:23" ht="15">
      <c r="A44" s="171"/>
      <c r="B44" s="197" t="s">
        <v>250</v>
      </c>
      <c r="C44" s="171" t="s">
        <v>230</v>
      </c>
      <c r="D44" s="180" t="s">
        <v>64</v>
      </c>
      <c r="E44" s="180" t="s">
        <v>64</v>
      </c>
      <c r="F44" s="180" t="s">
        <v>64</v>
      </c>
      <c r="G44" s="180" t="s">
        <v>64</v>
      </c>
      <c r="H44" s="180" t="s">
        <v>64</v>
      </c>
      <c r="I44" s="180" t="s">
        <v>64</v>
      </c>
      <c r="J44" s="186" t="s">
        <v>64</v>
      </c>
      <c r="K44" s="186" t="s">
        <v>64</v>
      </c>
      <c r="L44" s="175">
        <v>1</v>
      </c>
      <c r="M44" s="194" t="s">
        <v>64</v>
      </c>
      <c r="N44" s="194" t="s">
        <v>64</v>
      </c>
      <c r="O44" s="175"/>
      <c r="P44" s="176"/>
      <c r="Q44" s="177"/>
      <c r="R44" s="176"/>
      <c r="S44" s="154"/>
      <c r="T44" s="154"/>
      <c r="U44" s="155"/>
      <c r="V44" s="155"/>
      <c r="W44" s="155"/>
    </row>
    <row r="45" spans="1:23" ht="30.75">
      <c r="A45" s="171"/>
      <c r="B45" s="37" t="s">
        <v>251</v>
      </c>
      <c r="C45" s="171" t="s">
        <v>230</v>
      </c>
      <c r="D45" s="180" t="s">
        <v>64</v>
      </c>
      <c r="E45" s="180" t="s">
        <v>64</v>
      </c>
      <c r="F45" s="180" t="s">
        <v>64</v>
      </c>
      <c r="G45" s="180" t="s">
        <v>64</v>
      </c>
      <c r="H45" s="180" t="s">
        <v>64</v>
      </c>
      <c r="I45" s="180" t="s">
        <v>64</v>
      </c>
      <c r="J45" s="186" t="s">
        <v>64</v>
      </c>
      <c r="K45" s="186" t="s">
        <v>64</v>
      </c>
      <c r="L45" s="198" t="s">
        <v>64</v>
      </c>
      <c r="M45" s="198" t="s">
        <v>64</v>
      </c>
      <c r="N45" s="194" t="s">
        <v>64</v>
      </c>
      <c r="O45" s="175"/>
      <c r="P45" s="176"/>
      <c r="Q45" s="177"/>
      <c r="R45" s="176"/>
      <c r="S45" s="154"/>
      <c r="T45" s="154"/>
      <c r="U45" s="155"/>
      <c r="V45" s="155"/>
      <c r="W45" s="346"/>
    </row>
    <row r="46" spans="1:23" ht="15">
      <c r="A46" s="171"/>
      <c r="B46" s="20" t="s">
        <v>252</v>
      </c>
      <c r="C46" s="171" t="s">
        <v>230</v>
      </c>
      <c r="D46" s="199" t="s">
        <v>253</v>
      </c>
      <c r="E46" s="199" t="s">
        <v>253</v>
      </c>
      <c r="F46" s="199" t="s">
        <v>253</v>
      </c>
      <c r="G46" s="173"/>
      <c r="H46" s="173"/>
      <c r="I46" s="173"/>
      <c r="J46" s="174"/>
      <c r="K46" s="174"/>
      <c r="L46" s="175"/>
      <c r="M46" s="175"/>
      <c r="N46" s="175"/>
      <c r="O46" s="175"/>
      <c r="P46" s="176"/>
      <c r="Q46" s="177"/>
      <c r="R46" s="176"/>
      <c r="S46" s="154"/>
      <c r="T46" s="154"/>
      <c r="U46" s="155"/>
      <c r="V46" s="155"/>
      <c r="W46" s="346"/>
    </row>
    <row r="47" spans="1:23" ht="15">
      <c r="A47" s="171"/>
      <c r="B47" s="197" t="s">
        <v>254</v>
      </c>
      <c r="C47" s="182" t="s">
        <v>230</v>
      </c>
      <c r="D47" s="180">
        <v>1</v>
      </c>
      <c r="E47" s="180">
        <v>4</v>
      </c>
      <c r="F47" s="180">
        <v>4</v>
      </c>
      <c r="G47" s="173">
        <v>20</v>
      </c>
      <c r="H47" s="173">
        <v>15</v>
      </c>
      <c r="I47" s="173">
        <v>15</v>
      </c>
      <c r="J47" s="174">
        <v>13</v>
      </c>
      <c r="K47" s="174">
        <v>15</v>
      </c>
      <c r="L47" s="175">
        <v>15</v>
      </c>
      <c r="M47" s="175">
        <v>17</v>
      </c>
      <c r="N47" s="175">
        <v>17</v>
      </c>
      <c r="O47" s="175">
        <v>19</v>
      </c>
      <c r="P47" s="176">
        <v>14</v>
      </c>
      <c r="Q47" s="177">
        <v>14</v>
      </c>
      <c r="R47" s="176">
        <v>14</v>
      </c>
      <c r="S47" s="154">
        <v>11</v>
      </c>
      <c r="T47" s="154">
        <v>6</v>
      </c>
      <c r="U47" s="155">
        <v>11</v>
      </c>
      <c r="V47" s="155">
        <v>10</v>
      </c>
      <c r="W47" s="346">
        <v>7</v>
      </c>
    </row>
    <row r="48" spans="1:23" ht="15">
      <c r="A48" s="171"/>
      <c r="B48" s="197" t="s">
        <v>255</v>
      </c>
      <c r="C48" s="171" t="s">
        <v>230</v>
      </c>
      <c r="D48" s="180">
        <v>8</v>
      </c>
      <c r="E48" s="180">
        <v>10</v>
      </c>
      <c r="F48" s="180">
        <v>26</v>
      </c>
      <c r="G48" s="173">
        <v>12</v>
      </c>
      <c r="H48" s="173">
        <v>16</v>
      </c>
      <c r="I48" s="173">
        <v>16</v>
      </c>
      <c r="J48" s="174">
        <v>15</v>
      </c>
      <c r="K48" s="174">
        <v>13</v>
      </c>
      <c r="L48" s="175">
        <v>13</v>
      </c>
      <c r="M48" s="175">
        <v>11</v>
      </c>
      <c r="N48" s="175">
        <v>10</v>
      </c>
      <c r="O48" s="175">
        <v>9</v>
      </c>
      <c r="P48" s="176">
        <v>13</v>
      </c>
      <c r="Q48" s="177">
        <v>13</v>
      </c>
      <c r="R48" s="176">
        <v>13</v>
      </c>
      <c r="S48" s="154">
        <v>16</v>
      </c>
      <c r="T48" s="154">
        <v>15</v>
      </c>
      <c r="U48" s="155">
        <v>9</v>
      </c>
      <c r="V48" s="155">
        <v>8</v>
      </c>
      <c r="W48" s="346">
        <v>11</v>
      </c>
    </row>
    <row r="49" spans="1:23" ht="15">
      <c r="A49" s="171"/>
      <c r="B49" s="197" t="s">
        <v>256</v>
      </c>
      <c r="C49" s="171" t="s">
        <v>230</v>
      </c>
      <c r="D49" s="180">
        <v>7</v>
      </c>
      <c r="E49" s="180">
        <v>11</v>
      </c>
      <c r="F49" s="180">
        <v>6</v>
      </c>
      <c r="G49" s="173">
        <v>4</v>
      </c>
      <c r="H49" s="173">
        <v>4</v>
      </c>
      <c r="I49" s="173">
        <v>4</v>
      </c>
      <c r="J49" s="174">
        <v>6</v>
      </c>
      <c r="K49" s="174">
        <v>7</v>
      </c>
      <c r="L49" s="175">
        <v>7</v>
      </c>
      <c r="M49" s="175">
        <v>7</v>
      </c>
      <c r="N49" s="175">
        <v>8</v>
      </c>
      <c r="O49" s="175">
        <v>9</v>
      </c>
      <c r="P49" s="176">
        <v>6</v>
      </c>
      <c r="Q49" s="177">
        <v>5</v>
      </c>
      <c r="R49" s="176">
        <v>5</v>
      </c>
      <c r="S49" s="154">
        <v>5</v>
      </c>
      <c r="T49" s="154">
        <v>11</v>
      </c>
      <c r="U49" s="155">
        <v>14</v>
      </c>
      <c r="V49" s="155">
        <v>16</v>
      </c>
      <c r="W49" s="346">
        <v>16</v>
      </c>
    </row>
    <row r="50" spans="1:23" ht="15">
      <c r="A50" s="171"/>
      <c r="B50" s="197" t="s">
        <v>257</v>
      </c>
      <c r="C50" s="182" t="s">
        <v>230</v>
      </c>
      <c r="D50" s="180">
        <v>6</v>
      </c>
      <c r="E50" s="180">
        <v>8</v>
      </c>
      <c r="F50" s="184" t="s">
        <v>64</v>
      </c>
      <c r="G50" s="184" t="s">
        <v>64</v>
      </c>
      <c r="H50" s="173">
        <v>1</v>
      </c>
      <c r="I50" s="173">
        <v>1</v>
      </c>
      <c r="J50" s="174">
        <v>1</v>
      </c>
      <c r="K50" s="174">
        <v>1</v>
      </c>
      <c r="L50" s="175">
        <v>1</v>
      </c>
      <c r="M50" s="175">
        <v>1</v>
      </c>
      <c r="N50" s="175">
        <v>1</v>
      </c>
      <c r="O50" s="175">
        <v>1</v>
      </c>
      <c r="P50" s="176">
        <v>3</v>
      </c>
      <c r="Q50" s="177">
        <v>4</v>
      </c>
      <c r="R50" s="176">
        <v>4</v>
      </c>
      <c r="S50" s="154">
        <v>4</v>
      </c>
      <c r="T50" s="154">
        <v>4</v>
      </c>
      <c r="U50" s="155">
        <v>4</v>
      </c>
      <c r="V50" s="155">
        <v>4</v>
      </c>
      <c r="W50" s="346">
        <v>4</v>
      </c>
    </row>
    <row r="51" spans="1:15" ht="15">
      <c r="A51" s="68"/>
      <c r="B51" s="200"/>
      <c r="C51" s="68"/>
      <c r="D51" s="201"/>
      <c r="E51" s="201"/>
      <c r="F51" s="201"/>
      <c r="G51" s="202"/>
      <c r="H51" s="202"/>
      <c r="I51" s="202"/>
      <c r="J51" s="202"/>
      <c r="K51" s="202"/>
      <c r="L51" s="202"/>
      <c r="M51" s="203"/>
      <c r="N51" s="202"/>
      <c r="O51" s="202"/>
    </row>
    <row r="52" spans="1:6" ht="15">
      <c r="A52" s="68"/>
      <c r="B52" s="14"/>
      <c r="C52" s="68"/>
      <c r="D52" s="204"/>
      <c r="E52" s="204"/>
      <c r="F52" s="204"/>
    </row>
    <row r="53" spans="1:6" ht="15">
      <c r="A53" s="68"/>
      <c r="B53" s="205"/>
      <c r="C53" s="206"/>
      <c r="D53" s="204"/>
      <c r="E53" s="204"/>
      <c r="F53" s="204"/>
    </row>
    <row r="54" spans="1:6" ht="15">
      <c r="A54" s="68"/>
      <c r="B54" s="200"/>
      <c r="C54" s="68"/>
      <c r="D54" s="204"/>
      <c r="E54" s="204"/>
      <c r="F54" s="204"/>
    </row>
    <row r="57" spans="1:4" ht="15">
      <c r="A57" s="207"/>
      <c r="B57" s="372"/>
      <c r="C57" s="372"/>
      <c r="D57" s="48"/>
    </row>
    <row r="58" spans="1:4" ht="15">
      <c r="A58" s="207"/>
      <c r="B58" s="208"/>
      <c r="C58" s="55"/>
      <c r="D58" s="48"/>
    </row>
    <row r="59" spans="1:4" ht="15">
      <c r="A59" s="53"/>
      <c r="B59" s="54"/>
      <c r="C59" s="55"/>
      <c r="D59" s="48"/>
    </row>
    <row r="60" spans="1:4" ht="15">
      <c r="A60" s="53"/>
      <c r="B60" s="54"/>
      <c r="C60" s="55"/>
      <c r="D60" s="48"/>
    </row>
    <row r="61" spans="1:4" ht="15">
      <c r="A61" s="53"/>
      <c r="B61" s="54"/>
      <c r="C61" s="55"/>
      <c r="D61" s="48"/>
    </row>
    <row r="62" spans="1:4" ht="15">
      <c r="A62" s="53"/>
      <c r="B62" s="54"/>
      <c r="C62" s="55"/>
      <c r="D62" s="48"/>
    </row>
    <row r="63" spans="1:4" ht="15">
      <c r="A63" s="53"/>
      <c r="B63" s="54"/>
      <c r="C63" s="55"/>
      <c r="D63" s="48"/>
    </row>
    <row r="64" spans="1:4" ht="15">
      <c r="A64" s="53"/>
      <c r="B64" s="54"/>
      <c r="C64" s="55"/>
      <c r="D64" s="48"/>
    </row>
    <row r="65" spans="1:4" ht="15">
      <c r="A65" s="53"/>
      <c r="B65" s="54"/>
      <c r="C65" s="55"/>
      <c r="D65" s="48"/>
    </row>
    <row r="66" spans="1:4" ht="15">
      <c r="A66" s="53"/>
      <c r="B66" s="54"/>
      <c r="C66" s="55"/>
      <c r="D66" s="48"/>
    </row>
    <row r="67" spans="1:4" ht="15">
      <c r="A67" s="207"/>
      <c r="B67" s="208"/>
      <c r="C67" s="55"/>
      <c r="D67" s="48"/>
    </row>
    <row r="68" spans="1:4" ht="15">
      <c r="A68" s="53"/>
      <c r="B68" s="54"/>
      <c r="C68" s="55"/>
      <c r="D68" s="48"/>
    </row>
    <row r="69" spans="1:4" ht="15">
      <c r="A69" s="53"/>
      <c r="B69" s="54"/>
      <c r="C69" s="55"/>
      <c r="D69" s="48"/>
    </row>
    <row r="70" spans="1:4" ht="15">
      <c r="A70" s="53"/>
      <c r="B70" s="54"/>
      <c r="C70" s="55"/>
      <c r="D70" s="48"/>
    </row>
    <row r="71" spans="1:4" ht="15">
      <c r="A71" s="53"/>
      <c r="B71" s="54"/>
      <c r="C71" s="55"/>
      <c r="D71" s="48"/>
    </row>
    <row r="72" spans="1:4" ht="15">
      <c r="A72" s="53"/>
      <c r="B72" s="54"/>
      <c r="C72" s="55"/>
      <c r="D72" s="48"/>
    </row>
    <row r="73" spans="1:4" ht="15">
      <c r="A73" s="53"/>
      <c r="B73" s="54"/>
      <c r="C73" s="55"/>
      <c r="D73" s="48"/>
    </row>
    <row r="74" spans="1:4" ht="15">
      <c r="A74" s="53"/>
      <c r="B74" s="54"/>
      <c r="C74" s="55"/>
      <c r="D74" s="48"/>
    </row>
    <row r="75" spans="1:4" ht="15">
      <c r="A75" s="53"/>
      <c r="B75" s="54"/>
      <c r="C75" s="55"/>
      <c r="D75" s="48"/>
    </row>
    <row r="76" spans="1:4" ht="15">
      <c r="A76" s="207"/>
      <c r="B76" s="208"/>
      <c r="C76" s="55"/>
      <c r="D76" s="48"/>
    </row>
    <row r="77" spans="1:4" ht="15">
      <c r="A77" s="53"/>
      <c r="B77" s="54"/>
      <c r="C77" s="55"/>
      <c r="D77" s="48"/>
    </row>
    <row r="78" spans="1:4" ht="15">
      <c r="A78" s="53"/>
      <c r="B78" s="54"/>
      <c r="C78" s="55"/>
      <c r="D78" s="48"/>
    </row>
    <row r="79" spans="1:4" ht="15">
      <c r="A79" s="53"/>
      <c r="B79" s="54"/>
      <c r="C79" s="55"/>
      <c r="D79" s="48"/>
    </row>
    <row r="80" spans="1:4" ht="15">
      <c r="A80" s="53"/>
      <c r="B80" s="48"/>
      <c r="C80" s="55"/>
      <c r="D80" s="48"/>
    </row>
    <row r="81" spans="1:4" ht="15">
      <c r="A81" s="207"/>
      <c r="B81" s="208"/>
      <c r="C81" s="55"/>
      <c r="D81" s="48"/>
    </row>
    <row r="82" spans="1:4" ht="15">
      <c r="A82" s="53"/>
      <c r="B82" s="54"/>
      <c r="C82" s="55"/>
      <c r="D82" s="48"/>
    </row>
    <row r="83" spans="1:4" ht="15">
      <c r="A83" s="53"/>
      <c r="B83" s="54"/>
      <c r="C83" s="55"/>
      <c r="D83" s="48"/>
    </row>
    <row r="84" spans="1:4" ht="15">
      <c r="A84" s="53"/>
      <c r="B84" s="54"/>
      <c r="C84" s="55"/>
      <c r="D84" s="48"/>
    </row>
    <row r="85" spans="1:4" ht="15">
      <c r="A85" s="53"/>
      <c r="B85" s="54"/>
      <c r="C85" s="55"/>
      <c r="D85" s="48"/>
    </row>
    <row r="86" spans="1:4" ht="15">
      <c r="A86" s="48"/>
      <c r="B86" s="48"/>
      <c r="C86" s="55"/>
      <c r="D86" s="48"/>
    </row>
    <row r="87" spans="1:4" ht="15">
      <c r="A87" s="48"/>
      <c r="B87" s="48"/>
      <c r="C87" s="55"/>
      <c r="D87" s="48"/>
    </row>
    <row r="88" spans="1:4" ht="15">
      <c r="A88" s="209"/>
      <c r="B88" s="209"/>
      <c r="C88" s="209"/>
      <c r="D88" s="48"/>
    </row>
    <row r="89" spans="1:4" ht="15">
      <c r="A89" s="209"/>
      <c r="B89" s="209"/>
      <c r="C89" s="209"/>
      <c r="D89" s="48"/>
    </row>
    <row r="90" spans="1:4" ht="15">
      <c r="A90" s="209"/>
      <c r="B90" s="209"/>
      <c r="C90" s="209"/>
      <c r="D90" s="48"/>
    </row>
    <row r="91" spans="1:4" ht="15">
      <c r="A91" s="209"/>
      <c r="B91" s="209"/>
      <c r="C91" s="209"/>
      <c r="D91" s="48"/>
    </row>
    <row r="92" spans="1:4" ht="15">
      <c r="A92" s="209"/>
      <c r="B92" s="209"/>
      <c r="C92" s="209"/>
      <c r="D92" s="48"/>
    </row>
  </sheetData>
  <sheetProtection selectLockedCells="1" selectUnlockedCells="1"/>
  <mergeCells count="4">
    <mergeCell ref="A1:D1"/>
    <mergeCell ref="A2:E2"/>
    <mergeCell ref="A3:F3"/>
    <mergeCell ref="B57:C57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A1:E28"/>
  <sheetViews>
    <sheetView zoomScale="110" zoomScaleNormal="110" zoomScalePageLayoutView="0" workbookViewId="0" topLeftCell="A25">
      <selection activeCell="H22" sqref="H22"/>
    </sheetView>
  </sheetViews>
  <sheetFormatPr defaultColWidth="9.50390625" defaultRowHeight="12.75"/>
  <cols>
    <col min="1" max="1" width="5.50390625" style="210" customWidth="1"/>
    <col min="2" max="2" width="44.50390625" style="210" customWidth="1"/>
    <col min="3" max="3" width="16.00390625" style="210" customWidth="1"/>
    <col min="4" max="4" width="19.50390625" style="211" customWidth="1"/>
    <col min="5" max="16384" width="9.50390625" style="210" customWidth="1"/>
  </cols>
  <sheetData>
    <row r="1" spans="1:4" ht="12.75" customHeight="1">
      <c r="A1" s="357" t="s">
        <v>11</v>
      </c>
      <c r="B1" s="357"/>
      <c r="C1" s="357"/>
      <c r="D1" s="357"/>
    </row>
    <row r="2" spans="1:5" ht="12.75" customHeight="1">
      <c r="A2" s="373" t="s">
        <v>24</v>
      </c>
      <c r="B2" s="373"/>
      <c r="C2" s="373"/>
      <c r="D2" s="373"/>
      <c r="E2" s="373"/>
    </row>
    <row r="3" spans="1:4" ht="12.75" customHeight="1">
      <c r="A3" s="374" t="s">
        <v>25</v>
      </c>
      <c r="B3" s="374"/>
      <c r="C3" s="374"/>
      <c r="D3" s="374"/>
    </row>
    <row r="4" spans="1:3" ht="15">
      <c r="A4" s="211"/>
      <c r="B4" s="211"/>
      <c r="C4" s="211"/>
    </row>
    <row r="5" spans="1:4" ht="29.25" customHeight="1">
      <c r="A5" s="212" t="s">
        <v>207</v>
      </c>
      <c r="B5" s="212" t="s">
        <v>208</v>
      </c>
      <c r="C5" s="375" t="s">
        <v>258</v>
      </c>
      <c r="D5" s="375"/>
    </row>
    <row r="6" spans="1:4" ht="12.75" customHeight="1">
      <c r="A6" s="376" t="s">
        <v>259</v>
      </c>
      <c r="B6" s="376"/>
      <c r="C6" s="376"/>
      <c r="D6" s="376"/>
    </row>
    <row r="7" spans="1:4" ht="12.75" customHeight="1">
      <c r="A7" s="213" t="s">
        <v>4</v>
      </c>
      <c r="B7" s="214" t="s">
        <v>260</v>
      </c>
      <c r="C7" s="377" t="s">
        <v>261</v>
      </c>
      <c r="D7" s="377"/>
    </row>
    <row r="8" spans="1:4" ht="15.75" customHeight="1">
      <c r="A8" s="213" t="s">
        <v>6</v>
      </c>
      <c r="B8" s="214" t="s">
        <v>262</v>
      </c>
      <c r="C8" s="377" t="s">
        <v>263</v>
      </c>
      <c r="D8" s="377"/>
    </row>
    <row r="9" spans="1:4" ht="12.75" customHeight="1">
      <c r="A9" s="213" t="s">
        <v>8</v>
      </c>
      <c r="B9" s="214" t="s">
        <v>264</v>
      </c>
      <c r="C9" s="377" t="s">
        <v>265</v>
      </c>
      <c r="D9" s="377"/>
    </row>
    <row r="10" spans="1:4" ht="12.75" customHeight="1">
      <c r="A10" s="213" t="s">
        <v>10</v>
      </c>
      <c r="B10" s="214" t="s">
        <v>266</v>
      </c>
      <c r="C10" s="377" t="s">
        <v>39</v>
      </c>
      <c r="D10" s="377"/>
    </row>
    <row r="11" spans="1:4" ht="12.75" customHeight="1">
      <c r="A11" s="213" t="s">
        <v>267</v>
      </c>
      <c r="B11" s="214" t="s">
        <v>268</v>
      </c>
      <c r="C11" s="377" t="s">
        <v>39</v>
      </c>
      <c r="D11" s="377"/>
    </row>
    <row r="12" spans="1:4" s="215" customFormat="1" ht="156" customHeight="1">
      <c r="A12" s="66" t="s">
        <v>12</v>
      </c>
      <c r="B12" s="25" t="s">
        <v>269</v>
      </c>
      <c r="C12" s="378" t="s">
        <v>39</v>
      </c>
      <c r="D12" s="378"/>
    </row>
    <row r="13" spans="1:4" s="215" customFormat="1" ht="53.25" customHeight="1">
      <c r="A13" s="66" t="s">
        <v>14</v>
      </c>
      <c r="B13" s="25" t="s">
        <v>270</v>
      </c>
      <c r="C13" s="377" t="s">
        <v>39</v>
      </c>
      <c r="D13" s="377"/>
    </row>
    <row r="14" spans="1:4" ht="0.75" customHeight="1" hidden="1">
      <c r="A14" s="376"/>
      <c r="B14" s="376"/>
      <c r="C14" s="376"/>
      <c r="D14" s="376"/>
    </row>
    <row r="15" spans="1:4" ht="15" hidden="1">
      <c r="A15" s="213"/>
      <c r="B15" s="216"/>
      <c r="C15" s="377"/>
      <c r="D15" s="377"/>
    </row>
    <row r="16" spans="1:4" ht="15" hidden="1">
      <c r="A16" s="213"/>
      <c r="B16" s="216"/>
      <c r="C16" s="377"/>
      <c r="D16" s="377"/>
    </row>
    <row r="17" spans="1:4" ht="15" hidden="1">
      <c r="A17" s="213"/>
      <c r="B17" s="216"/>
      <c r="C17" s="377"/>
      <c r="D17" s="377"/>
    </row>
    <row r="18" spans="1:4" ht="15" hidden="1">
      <c r="A18" s="213"/>
      <c r="B18" s="216"/>
      <c r="C18" s="377"/>
      <c r="D18" s="377"/>
    </row>
    <row r="19" spans="1:4" ht="15" hidden="1">
      <c r="A19" s="213"/>
      <c r="B19" s="216"/>
      <c r="C19" s="377"/>
      <c r="D19" s="377"/>
    </row>
    <row r="20" spans="1:4" ht="15" hidden="1">
      <c r="A20" s="213"/>
      <c r="B20" s="216"/>
      <c r="C20" s="377"/>
      <c r="D20" s="377"/>
    </row>
    <row r="21" spans="1:4" ht="15" hidden="1">
      <c r="A21" s="217"/>
      <c r="B21" s="218"/>
      <c r="C21" s="219"/>
      <c r="D21" s="220"/>
    </row>
    <row r="22" spans="1:4" ht="12.75" customHeight="1">
      <c r="A22" s="376" t="s">
        <v>271</v>
      </c>
      <c r="B22" s="376"/>
      <c r="C22" s="376"/>
      <c r="D22" s="376"/>
    </row>
    <row r="23" spans="1:4" ht="12.75" customHeight="1">
      <c r="A23" s="213">
        <v>7</v>
      </c>
      <c r="B23" s="216" t="s">
        <v>260</v>
      </c>
      <c r="C23" s="377" t="s">
        <v>272</v>
      </c>
      <c r="D23" s="377"/>
    </row>
    <row r="24" spans="1:4" ht="12.75" customHeight="1">
      <c r="A24" s="213" t="s">
        <v>18</v>
      </c>
      <c r="B24" s="216" t="s">
        <v>264</v>
      </c>
      <c r="C24" s="377" t="s">
        <v>273</v>
      </c>
      <c r="D24" s="377"/>
    </row>
    <row r="25" spans="1:4" ht="12.75" customHeight="1">
      <c r="A25" s="213" t="s">
        <v>20</v>
      </c>
      <c r="B25" s="216" t="s">
        <v>268</v>
      </c>
      <c r="C25" s="377" t="s">
        <v>39</v>
      </c>
      <c r="D25" s="377"/>
    </row>
    <row r="26" spans="1:4" ht="12.75" customHeight="1">
      <c r="A26" s="213" t="s">
        <v>22</v>
      </c>
      <c r="B26" s="216" t="s">
        <v>274</v>
      </c>
      <c r="C26" s="377" t="s">
        <v>39</v>
      </c>
      <c r="D26" s="377"/>
    </row>
    <row r="27" spans="1:4" ht="12.75" customHeight="1">
      <c r="A27" s="213" t="s">
        <v>275</v>
      </c>
      <c r="B27" s="216" t="s">
        <v>276</v>
      </c>
      <c r="C27" s="377" t="s">
        <v>39</v>
      </c>
      <c r="D27" s="377"/>
    </row>
    <row r="28" spans="1:4" ht="12.75" customHeight="1">
      <c r="A28" s="213" t="s">
        <v>277</v>
      </c>
      <c r="B28" s="216" t="s">
        <v>278</v>
      </c>
      <c r="C28" s="377" t="s">
        <v>39</v>
      </c>
      <c r="D28" s="377"/>
    </row>
  </sheetData>
  <sheetProtection selectLockedCells="1" selectUnlockedCells="1"/>
  <mergeCells count="26">
    <mergeCell ref="C27:D27"/>
    <mergeCell ref="C28:D28"/>
    <mergeCell ref="C20:D20"/>
    <mergeCell ref="A22:D22"/>
    <mergeCell ref="C23:D23"/>
    <mergeCell ref="C24:D24"/>
    <mergeCell ref="C25:D25"/>
    <mergeCell ref="C26:D26"/>
    <mergeCell ref="A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A1:D1"/>
    <mergeCell ref="A2:E2"/>
    <mergeCell ref="A3:D3"/>
    <mergeCell ref="C5:D5"/>
    <mergeCell ref="A6:D6"/>
    <mergeCell ref="C7:D7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E96"/>
  <sheetViews>
    <sheetView zoomScalePageLayoutView="0" workbookViewId="0" topLeftCell="A76">
      <selection activeCell="C79" sqref="C79"/>
    </sheetView>
  </sheetViews>
  <sheetFormatPr defaultColWidth="9.00390625" defaultRowHeight="12.75"/>
  <cols>
    <col min="1" max="1" width="4.50390625" style="0" customWidth="1"/>
    <col min="2" max="2" width="60.50390625" style="0" customWidth="1"/>
    <col min="3" max="3" width="16.50390625" style="0" customWidth="1"/>
    <col min="4" max="4" width="36.50390625" style="0" customWidth="1"/>
    <col min="5" max="5" width="5.50390625" style="0" customWidth="1"/>
  </cols>
  <sheetData>
    <row r="1" spans="1:4" ht="15">
      <c r="A1" s="354" t="s">
        <v>279</v>
      </c>
      <c r="B1" s="354"/>
      <c r="C1" s="354"/>
      <c r="D1" s="354"/>
    </row>
    <row r="2" spans="1:4" ht="15">
      <c r="A2" s="364" t="s">
        <v>24</v>
      </c>
      <c r="B2" s="364"/>
      <c r="C2" s="364"/>
      <c r="D2" s="364"/>
    </row>
    <row r="3" spans="1:4" ht="12.75">
      <c r="A3" s="365" t="s">
        <v>25</v>
      </c>
      <c r="B3" s="365"/>
      <c r="C3" s="365"/>
      <c r="D3" s="365"/>
    </row>
    <row r="4" spans="1:4" ht="15">
      <c r="A4" s="13"/>
      <c r="B4" s="13"/>
      <c r="C4" s="13"/>
      <c r="D4" s="13"/>
    </row>
    <row r="5" spans="1:4" ht="51.75" customHeight="1">
      <c r="A5" s="157" t="s">
        <v>207</v>
      </c>
      <c r="B5" s="156" t="s">
        <v>208</v>
      </c>
      <c r="C5" s="156" t="s">
        <v>280</v>
      </c>
      <c r="D5" s="157" t="s">
        <v>281</v>
      </c>
    </row>
    <row r="6" spans="1:4" ht="19.5" customHeight="1">
      <c r="A6" s="221"/>
      <c r="B6" s="221" t="s">
        <v>282</v>
      </c>
      <c r="C6" s="221"/>
      <c r="D6" s="221"/>
    </row>
    <row r="7" spans="1:5" ht="15">
      <c r="A7" s="222"/>
      <c r="B7" s="223" t="s">
        <v>283</v>
      </c>
      <c r="C7" s="182" t="s">
        <v>284</v>
      </c>
      <c r="D7" s="52" t="s">
        <v>64</v>
      </c>
      <c r="E7" s="192"/>
    </row>
    <row r="8" spans="1:4" ht="15">
      <c r="A8" s="222"/>
      <c r="B8" s="223" t="s">
        <v>285</v>
      </c>
      <c r="C8" s="182" t="s">
        <v>286</v>
      </c>
      <c r="D8" s="224" t="s">
        <v>64</v>
      </c>
    </row>
    <row r="9" spans="1:4" ht="15">
      <c r="A9" s="222"/>
      <c r="B9" s="223" t="s">
        <v>287</v>
      </c>
      <c r="C9" s="182" t="s">
        <v>286</v>
      </c>
      <c r="D9" s="224" t="s">
        <v>64</v>
      </c>
    </row>
    <row r="10" spans="1:4" ht="15">
      <c r="A10" s="222"/>
      <c r="B10" s="223" t="s">
        <v>288</v>
      </c>
      <c r="C10" s="182" t="s">
        <v>286</v>
      </c>
      <c r="D10" s="225" t="s">
        <v>64</v>
      </c>
    </row>
    <row r="11" spans="1:4" ht="15">
      <c r="A11" s="222"/>
      <c r="B11" s="223" t="s">
        <v>289</v>
      </c>
      <c r="C11" s="182" t="s">
        <v>286</v>
      </c>
      <c r="D11" s="224" t="s">
        <v>64</v>
      </c>
    </row>
    <row r="12" spans="1:4" ht="15">
      <c r="A12" s="222"/>
      <c r="B12" s="223" t="s">
        <v>290</v>
      </c>
      <c r="C12" s="182" t="s">
        <v>286</v>
      </c>
      <c r="D12" s="52" t="s">
        <v>64</v>
      </c>
    </row>
    <row r="13" spans="1:4" ht="15">
      <c r="A13" s="222"/>
      <c r="B13" s="223" t="s">
        <v>291</v>
      </c>
      <c r="C13" s="182" t="s">
        <v>286</v>
      </c>
      <c r="D13" s="52" t="s">
        <v>64</v>
      </c>
    </row>
    <row r="14" spans="1:4" ht="15">
      <c r="A14" s="222"/>
      <c r="B14" s="223" t="s">
        <v>292</v>
      </c>
      <c r="C14" s="182"/>
      <c r="D14" s="52" t="s">
        <v>64</v>
      </c>
    </row>
    <row r="15" spans="1:4" ht="15">
      <c r="A15" s="222"/>
      <c r="B15" s="223" t="s">
        <v>293</v>
      </c>
      <c r="C15" s="182" t="s">
        <v>294</v>
      </c>
      <c r="D15" s="52" t="s">
        <v>64</v>
      </c>
    </row>
    <row r="16" spans="1:4" ht="15">
      <c r="A16" s="222"/>
      <c r="B16" s="223" t="s">
        <v>295</v>
      </c>
      <c r="C16" s="182" t="s">
        <v>284</v>
      </c>
      <c r="D16" s="52" t="s">
        <v>64</v>
      </c>
    </row>
    <row r="17" spans="1:4" ht="15">
      <c r="A17" s="222"/>
      <c r="B17" s="223" t="s">
        <v>296</v>
      </c>
      <c r="C17" s="182" t="s">
        <v>284</v>
      </c>
      <c r="D17" s="52" t="s">
        <v>64</v>
      </c>
    </row>
    <row r="18" spans="1:4" ht="15">
      <c r="A18" s="222"/>
      <c r="B18" s="223" t="s">
        <v>297</v>
      </c>
      <c r="C18" s="182" t="s">
        <v>284</v>
      </c>
      <c r="D18" s="52" t="s">
        <v>64</v>
      </c>
    </row>
    <row r="19" spans="1:4" ht="15">
      <c r="A19" s="222"/>
      <c r="B19" s="223" t="s">
        <v>298</v>
      </c>
      <c r="C19" s="182" t="s">
        <v>284</v>
      </c>
      <c r="D19" s="52" t="s">
        <v>64</v>
      </c>
    </row>
    <row r="20" spans="1:4" ht="15">
      <c r="A20" s="222"/>
      <c r="B20" s="223" t="s">
        <v>299</v>
      </c>
      <c r="C20" s="182" t="s">
        <v>284</v>
      </c>
      <c r="D20" s="52" t="s">
        <v>64</v>
      </c>
    </row>
    <row r="21" spans="1:4" ht="15">
      <c r="A21" s="222"/>
      <c r="B21" s="223" t="s">
        <v>300</v>
      </c>
      <c r="C21" s="182" t="s">
        <v>284</v>
      </c>
      <c r="D21" s="52" t="s">
        <v>64</v>
      </c>
    </row>
    <row r="22" spans="1:4" ht="30.75">
      <c r="A22" s="222"/>
      <c r="B22" s="66" t="s">
        <v>301</v>
      </c>
      <c r="C22" s="182" t="s">
        <v>284</v>
      </c>
      <c r="D22" s="52" t="s">
        <v>64</v>
      </c>
    </row>
    <row r="23" spans="1:4" ht="15">
      <c r="A23" s="222"/>
      <c r="B23" s="222" t="s">
        <v>302</v>
      </c>
      <c r="C23" s="182" t="s">
        <v>284</v>
      </c>
      <c r="D23" s="52" t="s">
        <v>64</v>
      </c>
    </row>
    <row r="24" spans="1:4" ht="15">
      <c r="A24" s="222"/>
      <c r="B24" s="222" t="s">
        <v>303</v>
      </c>
      <c r="C24" s="182" t="s">
        <v>284</v>
      </c>
      <c r="D24" s="52" t="s">
        <v>64</v>
      </c>
    </row>
    <row r="25" spans="1:4" ht="15">
      <c r="A25" s="222"/>
      <c r="B25" s="222" t="s">
        <v>304</v>
      </c>
      <c r="C25" s="182" t="s">
        <v>284</v>
      </c>
      <c r="D25" s="52" t="s">
        <v>64</v>
      </c>
    </row>
    <row r="26" spans="1:4" ht="15">
      <c r="A26" s="222"/>
      <c r="B26" s="222" t="s">
        <v>305</v>
      </c>
      <c r="C26" s="182" t="s">
        <v>284</v>
      </c>
      <c r="D26" s="52" t="s">
        <v>64</v>
      </c>
    </row>
    <row r="27" spans="1:4" ht="15">
      <c r="A27" s="222"/>
      <c r="B27" s="222" t="s">
        <v>306</v>
      </c>
      <c r="C27" s="182" t="s">
        <v>284</v>
      </c>
      <c r="D27" s="52" t="s">
        <v>64</v>
      </c>
    </row>
    <row r="28" spans="1:4" ht="15">
      <c r="A28" s="222"/>
      <c r="B28" s="222" t="s">
        <v>307</v>
      </c>
      <c r="C28" s="182" t="s">
        <v>284</v>
      </c>
      <c r="D28" s="52" t="s">
        <v>64</v>
      </c>
    </row>
    <row r="29" spans="1:4" ht="30.75">
      <c r="A29" s="226"/>
      <c r="B29" s="38" t="s">
        <v>308</v>
      </c>
      <c r="C29" s="182" t="s">
        <v>284</v>
      </c>
      <c r="D29" s="52" t="s">
        <v>64</v>
      </c>
    </row>
    <row r="30" spans="1:4" ht="30.75">
      <c r="A30" s="222"/>
      <c r="B30" s="38" t="s">
        <v>309</v>
      </c>
      <c r="C30" s="182" t="s">
        <v>284</v>
      </c>
      <c r="D30" s="52" t="s">
        <v>64</v>
      </c>
    </row>
    <row r="31" spans="1:4" ht="31.5" customHeight="1">
      <c r="A31" s="222"/>
      <c r="B31" s="38" t="s">
        <v>310</v>
      </c>
      <c r="C31" s="182" t="s">
        <v>284</v>
      </c>
      <c r="D31" s="52" t="s">
        <v>64</v>
      </c>
    </row>
    <row r="32" spans="1:4" ht="46.5">
      <c r="A32" s="226"/>
      <c r="B32" s="38" t="s">
        <v>311</v>
      </c>
      <c r="C32" s="182" t="s">
        <v>284</v>
      </c>
      <c r="D32" s="52" t="s">
        <v>64</v>
      </c>
    </row>
    <row r="33" spans="1:4" ht="30.75">
      <c r="A33" s="222"/>
      <c r="B33" s="38" t="s">
        <v>312</v>
      </c>
      <c r="C33" s="182" t="s">
        <v>284</v>
      </c>
      <c r="D33" s="52" t="s">
        <v>64</v>
      </c>
    </row>
    <row r="34" spans="1:4" ht="31.5" customHeight="1">
      <c r="A34" s="222"/>
      <c r="B34" s="38" t="s">
        <v>313</v>
      </c>
      <c r="C34" s="182" t="s">
        <v>284</v>
      </c>
      <c r="D34" s="52" t="s">
        <v>64</v>
      </c>
    </row>
    <row r="35" spans="1:4" ht="30.75">
      <c r="A35" s="222"/>
      <c r="B35" s="38" t="s">
        <v>314</v>
      </c>
      <c r="C35" s="182" t="s">
        <v>284</v>
      </c>
      <c r="D35" s="52" t="s">
        <v>64</v>
      </c>
    </row>
    <row r="36" spans="1:4" ht="46.5">
      <c r="A36" s="226"/>
      <c r="B36" s="38" t="s">
        <v>315</v>
      </c>
      <c r="C36" s="182" t="s">
        <v>284</v>
      </c>
      <c r="D36" s="52" t="s">
        <v>64</v>
      </c>
    </row>
    <row r="37" spans="1:4" ht="46.5">
      <c r="A37" s="222"/>
      <c r="B37" s="38" t="s">
        <v>316</v>
      </c>
      <c r="C37" s="182" t="s">
        <v>284</v>
      </c>
      <c r="D37" s="52" t="s">
        <v>64</v>
      </c>
    </row>
    <row r="38" spans="1:4" ht="46.5">
      <c r="A38" s="222"/>
      <c r="B38" s="38" t="s">
        <v>317</v>
      </c>
      <c r="C38" s="182" t="s">
        <v>284</v>
      </c>
      <c r="D38" s="52" t="s">
        <v>64</v>
      </c>
    </row>
    <row r="39" spans="1:4" ht="45" customHeight="1">
      <c r="A39" s="222"/>
      <c r="B39" s="38" t="s">
        <v>318</v>
      </c>
      <c r="C39" s="227" t="s">
        <v>319</v>
      </c>
      <c r="D39" s="52" t="s">
        <v>64</v>
      </c>
    </row>
    <row r="40" spans="1:4" ht="15">
      <c r="A40" s="222"/>
      <c r="B40" s="223" t="s">
        <v>320</v>
      </c>
      <c r="C40" s="182" t="s">
        <v>284</v>
      </c>
      <c r="D40" s="52" t="s">
        <v>64</v>
      </c>
    </row>
    <row r="41" spans="1:4" ht="15">
      <c r="A41" s="222"/>
      <c r="B41" s="38" t="s">
        <v>321</v>
      </c>
      <c r="C41" s="182" t="s">
        <v>322</v>
      </c>
      <c r="D41" s="52" t="s">
        <v>64</v>
      </c>
    </row>
    <row r="42" spans="1:4" ht="30.75">
      <c r="A42" s="222"/>
      <c r="B42" s="38" t="s">
        <v>323</v>
      </c>
      <c r="C42" s="182" t="s">
        <v>284</v>
      </c>
      <c r="D42" s="52" t="s">
        <v>64</v>
      </c>
    </row>
    <row r="43" spans="1:4" ht="30.75">
      <c r="A43" s="226"/>
      <c r="B43" s="38" t="s">
        <v>324</v>
      </c>
      <c r="C43" s="182" t="s">
        <v>284</v>
      </c>
      <c r="D43" s="52" t="s">
        <v>64</v>
      </c>
    </row>
    <row r="44" spans="1:4" ht="30.75">
      <c r="A44" s="222"/>
      <c r="B44" s="38" t="s">
        <v>325</v>
      </c>
      <c r="C44" s="182" t="s">
        <v>284</v>
      </c>
      <c r="D44" s="52" t="s">
        <v>64</v>
      </c>
    </row>
    <row r="45" spans="1:4" ht="30.75">
      <c r="A45" s="222"/>
      <c r="B45" s="38" t="s">
        <v>326</v>
      </c>
      <c r="C45" s="182" t="s">
        <v>284</v>
      </c>
      <c r="D45" s="52" t="s">
        <v>64</v>
      </c>
    </row>
    <row r="46" spans="1:4" ht="15">
      <c r="A46" s="222"/>
      <c r="B46" s="223" t="s">
        <v>327</v>
      </c>
      <c r="C46" s="182" t="s">
        <v>284</v>
      </c>
      <c r="D46" s="52" t="s">
        <v>64</v>
      </c>
    </row>
    <row r="47" spans="1:4" ht="15">
      <c r="A47" s="222"/>
      <c r="B47" s="223" t="s">
        <v>328</v>
      </c>
      <c r="C47" s="182" t="s">
        <v>284</v>
      </c>
      <c r="D47" s="52" t="s">
        <v>64</v>
      </c>
    </row>
    <row r="48" spans="1:4" ht="30.75">
      <c r="A48" s="222"/>
      <c r="B48" s="38" t="s">
        <v>329</v>
      </c>
      <c r="C48" s="182" t="s">
        <v>284</v>
      </c>
      <c r="D48" s="52" t="s">
        <v>64</v>
      </c>
    </row>
    <row r="49" spans="1:4" ht="15">
      <c r="A49" s="222"/>
      <c r="B49" s="223" t="s">
        <v>330</v>
      </c>
      <c r="C49" s="182" t="s">
        <v>284</v>
      </c>
      <c r="D49" s="52" t="s">
        <v>64</v>
      </c>
    </row>
    <row r="50" spans="1:4" ht="15">
      <c r="A50" s="226"/>
      <c r="B50" s="38" t="s">
        <v>331</v>
      </c>
      <c r="C50" s="182" t="s">
        <v>284</v>
      </c>
      <c r="D50" s="52" t="s">
        <v>64</v>
      </c>
    </row>
    <row r="51" spans="1:4" ht="15">
      <c r="A51" s="222"/>
      <c r="B51" s="223" t="s">
        <v>332</v>
      </c>
      <c r="C51" s="182"/>
      <c r="D51" s="52" t="s">
        <v>64</v>
      </c>
    </row>
    <row r="52" spans="1:4" ht="15">
      <c r="A52" s="222"/>
      <c r="B52" s="223" t="s">
        <v>333</v>
      </c>
      <c r="C52" s="182" t="s">
        <v>334</v>
      </c>
      <c r="D52" s="52" t="s">
        <v>64</v>
      </c>
    </row>
    <row r="53" spans="1:4" ht="15">
      <c r="A53" s="226"/>
      <c r="B53" s="223" t="s">
        <v>335</v>
      </c>
      <c r="C53" s="182" t="s">
        <v>334</v>
      </c>
      <c r="D53" s="52" t="s">
        <v>64</v>
      </c>
    </row>
    <row r="54" spans="1:4" ht="15">
      <c r="A54" s="226"/>
      <c r="B54" s="223" t="s">
        <v>336</v>
      </c>
      <c r="C54" s="182" t="s">
        <v>334</v>
      </c>
      <c r="D54" s="52" t="s">
        <v>64</v>
      </c>
    </row>
    <row r="55" spans="1:4" ht="15">
      <c r="A55" s="222"/>
      <c r="B55" s="223" t="s">
        <v>337</v>
      </c>
      <c r="C55" s="182" t="s">
        <v>338</v>
      </c>
      <c r="D55" s="52" t="s">
        <v>64</v>
      </c>
    </row>
    <row r="56" spans="1:4" ht="15">
      <c r="A56" s="222"/>
      <c r="B56" s="223" t="s">
        <v>339</v>
      </c>
      <c r="C56" s="182"/>
      <c r="D56" s="52" t="s">
        <v>64</v>
      </c>
    </row>
    <row r="57" spans="1:4" ht="15">
      <c r="A57" s="222"/>
      <c r="B57" s="223" t="s">
        <v>340</v>
      </c>
      <c r="C57" s="182" t="s">
        <v>334</v>
      </c>
      <c r="D57" s="52" t="s">
        <v>64</v>
      </c>
    </row>
    <row r="58" spans="1:4" ht="15">
      <c r="A58" s="222"/>
      <c r="B58" s="223" t="s">
        <v>335</v>
      </c>
      <c r="C58" s="182" t="s">
        <v>334</v>
      </c>
      <c r="D58" s="52" t="s">
        <v>64</v>
      </c>
    </row>
    <row r="59" spans="1:4" ht="15">
      <c r="A59" s="222"/>
      <c r="B59" s="223" t="s">
        <v>283</v>
      </c>
      <c r="C59" s="182"/>
      <c r="D59" s="52" t="s">
        <v>64</v>
      </c>
    </row>
    <row r="60" spans="1:4" ht="15">
      <c r="A60" s="222"/>
      <c r="B60" s="223" t="s">
        <v>341</v>
      </c>
      <c r="C60" s="182" t="s">
        <v>284</v>
      </c>
      <c r="D60" s="52" t="s">
        <v>64</v>
      </c>
    </row>
    <row r="61" spans="1:4" ht="15">
      <c r="A61" s="222"/>
      <c r="B61" s="223" t="s">
        <v>342</v>
      </c>
      <c r="C61" s="182" t="s">
        <v>284</v>
      </c>
      <c r="D61" s="52" t="s">
        <v>64</v>
      </c>
    </row>
    <row r="62" spans="1:4" ht="15">
      <c r="A62" s="222"/>
      <c r="B62" s="223" t="s">
        <v>343</v>
      </c>
      <c r="C62" s="182" t="s">
        <v>284</v>
      </c>
      <c r="D62" s="52" t="s">
        <v>64</v>
      </c>
    </row>
    <row r="63" spans="1:4" ht="15">
      <c r="A63" s="222"/>
      <c r="B63" s="223" t="s">
        <v>344</v>
      </c>
      <c r="C63" s="182" t="s">
        <v>284</v>
      </c>
      <c r="D63" s="52" t="s">
        <v>64</v>
      </c>
    </row>
    <row r="64" spans="1:4" ht="14.25" customHeight="1">
      <c r="A64" s="222"/>
      <c r="B64" s="38" t="s">
        <v>345</v>
      </c>
      <c r="C64" s="182" t="s">
        <v>284</v>
      </c>
      <c r="D64" s="52" t="s">
        <v>64</v>
      </c>
    </row>
    <row r="65" spans="1:4" ht="30.75">
      <c r="A65" s="222"/>
      <c r="B65" s="38" t="s">
        <v>346</v>
      </c>
      <c r="C65" s="182" t="s">
        <v>284</v>
      </c>
      <c r="D65" s="52" t="s">
        <v>64</v>
      </c>
    </row>
    <row r="66" spans="1:4" ht="30.75">
      <c r="A66" s="222"/>
      <c r="B66" s="38" t="s">
        <v>347</v>
      </c>
      <c r="C66" s="182" t="s">
        <v>284</v>
      </c>
      <c r="D66" s="52" t="s">
        <v>64</v>
      </c>
    </row>
    <row r="67" spans="1:4" ht="15">
      <c r="A67" s="228"/>
      <c r="B67" s="221" t="s">
        <v>348</v>
      </c>
      <c r="C67" s="221"/>
      <c r="D67" s="221"/>
    </row>
    <row r="68" spans="1:4" ht="14.25" customHeight="1">
      <c r="A68" s="222"/>
      <c r="B68" s="223" t="s">
        <v>349</v>
      </c>
      <c r="C68" s="182" t="s">
        <v>284</v>
      </c>
      <c r="D68" s="52">
        <v>23</v>
      </c>
    </row>
    <row r="69" spans="1:4" ht="15">
      <c r="A69" s="222"/>
      <c r="B69" s="223" t="s">
        <v>350</v>
      </c>
      <c r="C69" s="182" t="s">
        <v>286</v>
      </c>
      <c r="D69" s="52">
        <v>306.4</v>
      </c>
    </row>
    <row r="70" spans="1:4" ht="15">
      <c r="A70" s="222"/>
      <c r="B70" s="223" t="s">
        <v>83</v>
      </c>
      <c r="C70" s="182"/>
      <c r="D70" s="52"/>
    </row>
    <row r="71" spans="1:4" ht="15">
      <c r="A71" s="222"/>
      <c r="B71" s="223" t="s">
        <v>351</v>
      </c>
      <c r="C71" s="182" t="s">
        <v>284</v>
      </c>
      <c r="D71" s="52">
        <v>1</v>
      </c>
    </row>
    <row r="72" spans="1:4" ht="15">
      <c r="A72" s="222"/>
      <c r="B72" s="223" t="s">
        <v>350</v>
      </c>
      <c r="C72" s="182" t="s">
        <v>286</v>
      </c>
      <c r="D72" s="52">
        <v>5.9</v>
      </c>
    </row>
    <row r="73" spans="1:4" ht="15">
      <c r="A73" s="222"/>
      <c r="B73" s="223" t="s">
        <v>352</v>
      </c>
      <c r="C73" s="182" t="s">
        <v>284</v>
      </c>
      <c r="D73" s="52" t="s">
        <v>64</v>
      </c>
    </row>
    <row r="74" spans="1:4" ht="15">
      <c r="A74" s="222"/>
      <c r="B74" s="223" t="s">
        <v>353</v>
      </c>
      <c r="C74" s="182" t="s">
        <v>286</v>
      </c>
      <c r="D74" s="52" t="s">
        <v>64</v>
      </c>
    </row>
    <row r="75" spans="1:4" ht="15">
      <c r="A75" s="222"/>
      <c r="B75" s="223" t="s">
        <v>354</v>
      </c>
      <c r="C75" s="182" t="s">
        <v>284</v>
      </c>
      <c r="D75" s="52" t="s">
        <v>64</v>
      </c>
    </row>
    <row r="76" spans="1:4" ht="15">
      <c r="A76" s="222"/>
      <c r="B76" s="223" t="s">
        <v>355</v>
      </c>
      <c r="C76" s="182" t="s">
        <v>286</v>
      </c>
      <c r="D76" s="52" t="s">
        <v>64</v>
      </c>
    </row>
    <row r="77" spans="1:4" ht="15">
      <c r="A77" s="222"/>
      <c r="B77" s="223" t="s">
        <v>356</v>
      </c>
      <c r="C77" s="182" t="s">
        <v>284</v>
      </c>
      <c r="D77" s="52">
        <v>11</v>
      </c>
    </row>
    <row r="78" spans="1:4" ht="15">
      <c r="A78" s="222"/>
      <c r="B78" s="223" t="s">
        <v>350</v>
      </c>
      <c r="C78" s="182" t="s">
        <v>286</v>
      </c>
      <c r="D78" s="52">
        <v>186.8</v>
      </c>
    </row>
    <row r="79" spans="1:4" ht="15">
      <c r="A79" s="229"/>
      <c r="B79" s="181" t="s">
        <v>357</v>
      </c>
      <c r="C79" s="169"/>
      <c r="D79" s="169" t="s">
        <v>64</v>
      </c>
    </row>
    <row r="80" spans="1:4" ht="15">
      <c r="A80" s="222"/>
      <c r="B80" s="223" t="s">
        <v>358</v>
      </c>
      <c r="C80" s="182" t="s">
        <v>284</v>
      </c>
      <c r="D80" s="52" t="s">
        <v>64</v>
      </c>
    </row>
    <row r="81" spans="1:4" ht="15">
      <c r="A81" s="222"/>
      <c r="B81" s="223" t="s">
        <v>350</v>
      </c>
      <c r="C81" s="182" t="s">
        <v>286</v>
      </c>
      <c r="D81" s="52" t="s">
        <v>64</v>
      </c>
    </row>
    <row r="82" spans="1:4" ht="15">
      <c r="A82" s="222"/>
      <c r="B82" s="223" t="s">
        <v>359</v>
      </c>
      <c r="C82" s="182" t="s">
        <v>284</v>
      </c>
      <c r="D82" s="52" t="s">
        <v>64</v>
      </c>
    </row>
    <row r="83" spans="1:4" ht="15">
      <c r="A83" s="222"/>
      <c r="B83" s="223" t="s">
        <v>350</v>
      </c>
      <c r="C83" s="182" t="s">
        <v>286</v>
      </c>
      <c r="D83" s="52" t="s">
        <v>64</v>
      </c>
    </row>
    <row r="84" spans="1:4" s="230" customFormat="1" ht="15">
      <c r="A84" s="222"/>
      <c r="B84" s="223" t="s">
        <v>360</v>
      </c>
      <c r="C84" s="182" t="s">
        <v>284</v>
      </c>
      <c r="D84" s="52">
        <v>11</v>
      </c>
    </row>
    <row r="85" spans="1:4" ht="15">
      <c r="A85" s="222"/>
      <c r="B85" s="223" t="s">
        <v>350</v>
      </c>
      <c r="C85" s="182" t="s">
        <v>286</v>
      </c>
      <c r="D85" s="52">
        <v>113.9</v>
      </c>
    </row>
    <row r="86" spans="1:4" ht="15">
      <c r="A86" s="228"/>
      <c r="B86" s="221" t="s">
        <v>361</v>
      </c>
      <c r="C86" s="221"/>
      <c r="D86" s="221"/>
    </row>
    <row r="87" spans="1:4" ht="15">
      <c r="A87" s="222"/>
      <c r="B87" s="223" t="s">
        <v>362</v>
      </c>
      <c r="C87" s="182" t="s">
        <v>284</v>
      </c>
      <c r="D87" s="52" t="s">
        <v>64</v>
      </c>
    </row>
    <row r="88" spans="1:4" ht="15">
      <c r="A88" s="222"/>
      <c r="B88" s="223" t="s">
        <v>350</v>
      </c>
      <c r="C88" s="182" t="s">
        <v>286</v>
      </c>
      <c r="D88" s="224" t="s">
        <v>64</v>
      </c>
    </row>
    <row r="89" spans="1:4" ht="12.75">
      <c r="A89" s="190"/>
      <c r="B89" s="231"/>
      <c r="C89" s="190"/>
      <c r="D89" s="190"/>
    </row>
    <row r="91" s="232" customFormat="1" ht="11.25">
      <c r="A91" s="232" t="s">
        <v>363</v>
      </c>
    </row>
    <row r="92" s="232" customFormat="1" ht="11.25">
      <c r="A92" s="232" t="s">
        <v>364</v>
      </c>
    </row>
    <row r="93" s="232" customFormat="1" ht="11.25">
      <c r="A93" s="232" t="s">
        <v>365</v>
      </c>
    </row>
    <row r="94" s="232" customFormat="1" ht="11.25">
      <c r="A94" s="232" t="s">
        <v>366</v>
      </c>
    </row>
    <row r="95" s="232" customFormat="1" ht="11.25">
      <c r="A95" s="232" t="s">
        <v>367</v>
      </c>
    </row>
    <row r="96" s="232" customFormat="1" ht="11.25">
      <c r="A96" s="232" t="s">
        <v>368</v>
      </c>
    </row>
    <row r="97" s="232" customFormat="1" ht="11.25"/>
    <row r="98" s="232" customFormat="1" ht="11.25"/>
  </sheetData>
  <sheetProtection selectLockedCells="1" selectUnlockedCells="1"/>
  <mergeCells count="3">
    <mergeCell ref="A1:D1"/>
    <mergeCell ref="A2:D2"/>
    <mergeCell ref="A3:D3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A1:E24"/>
  <sheetViews>
    <sheetView zoomScalePageLayoutView="0" workbookViewId="0" topLeftCell="A7">
      <selection activeCell="H11" sqref="H11"/>
    </sheetView>
  </sheetViews>
  <sheetFormatPr defaultColWidth="9.00390625" defaultRowHeight="12.75"/>
  <cols>
    <col min="1" max="1" width="7.50390625" style="0" customWidth="1"/>
    <col min="2" max="2" width="56.50390625" style="0" customWidth="1"/>
    <col min="3" max="3" width="16.50390625" style="0" customWidth="1"/>
    <col min="4" max="4" width="17.50390625" style="0" customWidth="1"/>
  </cols>
  <sheetData>
    <row r="1" spans="1:4" ht="15">
      <c r="A1" s="354" t="s">
        <v>369</v>
      </c>
      <c r="B1" s="354"/>
      <c r="C1" s="354"/>
      <c r="D1" s="354"/>
    </row>
    <row r="2" spans="1:5" ht="15">
      <c r="A2" s="364" t="s">
        <v>24</v>
      </c>
      <c r="B2" s="364"/>
      <c r="C2" s="364"/>
      <c r="D2" s="364"/>
      <c r="E2" s="364"/>
    </row>
    <row r="3" spans="1:4" ht="12.75">
      <c r="A3" s="365" t="s">
        <v>25</v>
      </c>
      <c r="B3" s="365"/>
      <c r="C3" s="365"/>
      <c r="D3" s="365"/>
    </row>
    <row r="4" spans="1:4" ht="15">
      <c r="A4" s="13"/>
      <c r="B4" s="13"/>
      <c r="C4" s="13"/>
      <c r="D4" s="13"/>
    </row>
    <row r="5" spans="1:4" ht="30.75">
      <c r="A5" s="233" t="s">
        <v>207</v>
      </c>
      <c r="B5" s="233" t="s">
        <v>208</v>
      </c>
      <c r="C5" s="233" t="s">
        <v>280</v>
      </c>
      <c r="D5" s="212" t="s">
        <v>258</v>
      </c>
    </row>
    <row r="6" spans="1:4" ht="15">
      <c r="A6" s="221"/>
      <c r="B6" s="221" t="s">
        <v>370</v>
      </c>
      <c r="C6" s="221"/>
      <c r="D6" s="221"/>
    </row>
    <row r="7" spans="1:4" ht="15">
      <c r="A7" s="171"/>
      <c r="B7" s="31" t="s">
        <v>371</v>
      </c>
      <c r="C7" s="171" t="s">
        <v>372</v>
      </c>
      <c r="D7" s="42">
        <v>59</v>
      </c>
    </row>
    <row r="8" spans="1:4" ht="15">
      <c r="A8" s="171"/>
      <c r="B8" s="31" t="s">
        <v>373</v>
      </c>
      <c r="C8" s="171" t="s">
        <v>372</v>
      </c>
      <c r="D8" s="42">
        <v>2</v>
      </c>
    </row>
    <row r="9" spans="1:4" ht="15">
      <c r="A9" s="171"/>
      <c r="B9" s="31" t="s">
        <v>374</v>
      </c>
      <c r="C9" s="171" t="s">
        <v>372</v>
      </c>
      <c r="D9" s="42">
        <v>4</v>
      </c>
    </row>
    <row r="10" spans="1:4" ht="15">
      <c r="A10" s="171"/>
      <c r="B10" s="31" t="s">
        <v>375</v>
      </c>
      <c r="C10" s="171" t="s">
        <v>376</v>
      </c>
      <c r="D10" s="42">
        <v>1</v>
      </c>
    </row>
    <row r="11" spans="1:4" ht="15">
      <c r="A11" s="171"/>
      <c r="B11" s="31" t="s">
        <v>377</v>
      </c>
      <c r="C11" s="171" t="s">
        <v>372</v>
      </c>
      <c r="D11" s="42">
        <v>36</v>
      </c>
    </row>
    <row r="12" spans="1:4" ht="15">
      <c r="A12" s="171"/>
      <c r="B12" s="31" t="s">
        <v>378</v>
      </c>
      <c r="C12" s="171" t="s">
        <v>376</v>
      </c>
      <c r="D12" s="42">
        <v>1</v>
      </c>
    </row>
    <row r="13" spans="1:4" ht="30.75">
      <c r="A13" s="171"/>
      <c r="B13" s="216" t="s">
        <v>379</v>
      </c>
      <c r="C13" s="234" t="s">
        <v>380</v>
      </c>
      <c r="D13" s="42">
        <v>1</v>
      </c>
    </row>
    <row r="14" spans="1:4" ht="15">
      <c r="A14" s="171"/>
      <c r="B14" s="31" t="s">
        <v>381</v>
      </c>
      <c r="C14" s="171" t="s">
        <v>382</v>
      </c>
      <c r="D14" s="42">
        <v>8</v>
      </c>
    </row>
    <row r="15" spans="1:4" ht="15">
      <c r="A15" s="171"/>
      <c r="B15" s="31" t="s">
        <v>383</v>
      </c>
      <c r="C15" s="171" t="s">
        <v>372</v>
      </c>
      <c r="D15" s="42">
        <v>4</v>
      </c>
    </row>
    <row r="16" spans="1:4" ht="15">
      <c r="A16" s="221"/>
      <c r="B16" s="221" t="s">
        <v>384</v>
      </c>
      <c r="C16" s="221"/>
      <c r="D16" s="221"/>
    </row>
    <row r="17" spans="1:4" ht="15">
      <c r="A17" s="171"/>
      <c r="B17" s="31" t="s">
        <v>385</v>
      </c>
      <c r="C17" s="171" t="s">
        <v>372</v>
      </c>
      <c r="D17" s="42">
        <v>2</v>
      </c>
    </row>
    <row r="18" spans="1:4" ht="15">
      <c r="A18" s="171"/>
      <c r="B18" s="31" t="s">
        <v>386</v>
      </c>
      <c r="C18" s="171" t="s">
        <v>372</v>
      </c>
      <c r="D18" s="60">
        <v>8</v>
      </c>
    </row>
    <row r="19" spans="1:4" ht="15">
      <c r="A19" s="171"/>
      <c r="B19" s="31" t="s">
        <v>387</v>
      </c>
      <c r="C19" s="171" t="s">
        <v>372</v>
      </c>
      <c r="D19" s="42">
        <v>0</v>
      </c>
    </row>
    <row r="20" spans="1:4" ht="15">
      <c r="A20" s="171"/>
      <c r="B20" s="31" t="s">
        <v>388</v>
      </c>
      <c r="C20" s="171" t="s">
        <v>372</v>
      </c>
      <c r="D20" s="42">
        <v>0</v>
      </c>
    </row>
    <row r="21" spans="1:4" ht="15">
      <c r="A21" s="235"/>
      <c r="B21" s="236"/>
      <c r="C21" s="171" t="s">
        <v>372</v>
      </c>
      <c r="D21" s="42"/>
    </row>
    <row r="22" spans="1:4" ht="15">
      <c r="A22" s="221"/>
      <c r="B22" s="221" t="s">
        <v>389</v>
      </c>
      <c r="C22" s="221"/>
      <c r="D22" s="221"/>
    </row>
    <row r="23" spans="1:4" ht="15">
      <c r="A23" s="171"/>
      <c r="B23" s="31" t="s">
        <v>253</v>
      </c>
      <c r="C23" s="171" t="s">
        <v>372</v>
      </c>
      <c r="D23" s="42">
        <v>0</v>
      </c>
    </row>
    <row r="24" spans="1:4" ht="15">
      <c r="A24" s="237"/>
      <c r="B24" s="48" t="s">
        <v>390</v>
      </c>
      <c r="C24" s="237"/>
      <c r="D24" s="237"/>
    </row>
  </sheetData>
  <sheetProtection selectLockedCells="1" selectUnlockedCells="1"/>
  <mergeCells count="3">
    <mergeCell ref="A1:D1"/>
    <mergeCell ref="A2:E2"/>
    <mergeCell ref="A3:D3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5"/>
  </sheetPr>
  <dimension ref="A1:W29"/>
  <sheetViews>
    <sheetView zoomScalePageLayoutView="0" workbookViewId="0" topLeftCell="A1">
      <pane xSplit="2" ySplit="5" topLeftCell="M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24" sqref="Q24:Q25"/>
    </sheetView>
  </sheetViews>
  <sheetFormatPr defaultColWidth="9.50390625" defaultRowHeight="12.75"/>
  <cols>
    <col min="1" max="1" width="4.00390625" style="238" customWidth="1"/>
    <col min="2" max="2" width="26.50390625" style="238" customWidth="1"/>
    <col min="3" max="3" width="9.50390625" style="238" customWidth="1"/>
    <col min="4" max="9" width="13.50390625" style="238" customWidth="1"/>
    <col min="10" max="10" width="10.50390625" style="238" customWidth="1"/>
    <col min="11" max="11" width="14.00390625" style="238" customWidth="1"/>
    <col min="12" max="12" width="10.50390625" style="238" customWidth="1"/>
    <col min="13" max="13" width="14.50390625" style="238" customWidth="1"/>
    <col min="14" max="14" width="10.50390625" style="238" customWidth="1"/>
    <col min="15" max="15" width="14.50390625" style="238" customWidth="1"/>
    <col min="16" max="17" width="13.50390625" style="238" customWidth="1"/>
    <col min="18" max="18" width="13.375" style="238" customWidth="1"/>
    <col min="19" max="19" width="13.50390625" style="238" customWidth="1"/>
    <col min="20" max="20" width="12.50390625" style="238" customWidth="1"/>
    <col min="21" max="21" width="13.50390625" style="238" customWidth="1"/>
    <col min="22" max="22" width="11.50390625" style="238" customWidth="1"/>
    <col min="23" max="23" width="13.50390625" style="238" customWidth="1"/>
    <col min="24" max="16384" width="9.50390625" style="238" customWidth="1"/>
  </cols>
  <sheetData>
    <row r="1" spans="1:4" ht="15">
      <c r="A1" s="354" t="s">
        <v>17</v>
      </c>
      <c r="B1" s="354"/>
      <c r="C1" s="354"/>
      <c r="D1" s="354"/>
    </row>
    <row r="2" spans="1:6" ht="15">
      <c r="A2" s="364" t="s">
        <v>24</v>
      </c>
      <c r="B2" s="364"/>
      <c r="C2" s="364"/>
      <c r="D2" s="364"/>
      <c r="E2" s="364"/>
      <c r="F2" s="364"/>
    </row>
    <row r="3" spans="1:4" ht="12.75">
      <c r="A3" s="355" t="s">
        <v>25</v>
      </c>
      <c r="B3" s="355"/>
      <c r="C3" s="355"/>
      <c r="D3" s="355"/>
    </row>
    <row r="4" spans="1:4" ht="15">
      <c r="A4" s="13"/>
      <c r="B4" s="13"/>
      <c r="C4" s="13"/>
      <c r="D4" s="13"/>
    </row>
    <row r="5" spans="1:23" s="211" customFormat="1" ht="51.75" customHeight="1">
      <c r="A5" s="157" t="s">
        <v>207</v>
      </c>
      <c r="B5" s="157" t="s">
        <v>208</v>
      </c>
      <c r="C5" s="157" t="s">
        <v>391</v>
      </c>
      <c r="D5" s="157" t="s">
        <v>392</v>
      </c>
      <c r="E5" s="157" t="s">
        <v>393</v>
      </c>
      <c r="F5" s="157" t="s">
        <v>394</v>
      </c>
      <c r="G5" s="157" t="s">
        <v>395</v>
      </c>
      <c r="H5" s="63" t="s">
        <v>396</v>
      </c>
      <c r="I5" s="157" t="s">
        <v>397</v>
      </c>
      <c r="J5" s="63" t="s">
        <v>398</v>
      </c>
      <c r="K5" s="157" t="s">
        <v>399</v>
      </c>
      <c r="L5" s="63" t="s">
        <v>400</v>
      </c>
      <c r="M5" s="157" t="s">
        <v>401</v>
      </c>
      <c r="N5" s="63" t="s">
        <v>402</v>
      </c>
      <c r="O5" s="157" t="s">
        <v>403</v>
      </c>
      <c r="P5" s="239" t="s">
        <v>404</v>
      </c>
      <c r="Q5" s="157" t="s">
        <v>405</v>
      </c>
      <c r="R5" s="239" t="s">
        <v>406</v>
      </c>
      <c r="S5" s="157" t="s">
        <v>407</v>
      </c>
      <c r="T5" s="240" t="s">
        <v>408</v>
      </c>
      <c r="U5" s="241" t="s">
        <v>409</v>
      </c>
      <c r="V5" s="240" t="s">
        <v>410</v>
      </c>
      <c r="W5" s="241" t="s">
        <v>411</v>
      </c>
    </row>
    <row r="6" spans="1:23" s="13" customFormat="1" ht="19.5" customHeight="1">
      <c r="A6" s="221"/>
      <c r="B6" s="221" t="s">
        <v>412</v>
      </c>
      <c r="C6" s="221"/>
      <c r="D6" s="221"/>
      <c r="E6" s="221"/>
      <c r="F6" s="221"/>
      <c r="G6" s="242"/>
      <c r="H6" s="242"/>
      <c r="I6" s="242"/>
      <c r="J6" s="242"/>
      <c r="K6" s="242"/>
      <c r="L6" s="242"/>
      <c r="M6" s="242"/>
      <c r="N6" s="242"/>
      <c r="O6" s="242"/>
      <c r="P6" s="243"/>
      <c r="Q6" s="244"/>
      <c r="R6" s="243"/>
      <c r="S6" s="245"/>
      <c r="T6" s="242"/>
      <c r="U6" s="242"/>
      <c r="V6" s="242"/>
      <c r="W6" s="242"/>
    </row>
    <row r="7" spans="1:23" s="13" customFormat="1" ht="15">
      <c r="A7" s="171">
        <v>1</v>
      </c>
      <c r="B7" s="246" t="s">
        <v>413</v>
      </c>
      <c r="C7" s="171" t="s">
        <v>414</v>
      </c>
      <c r="D7" s="247">
        <v>31.77</v>
      </c>
      <c r="E7" s="247">
        <v>236.6</v>
      </c>
      <c r="F7" s="247">
        <v>204.25</v>
      </c>
      <c r="G7" s="248">
        <v>149.87</v>
      </c>
      <c r="H7" s="248">
        <v>350</v>
      </c>
      <c r="I7" s="249">
        <v>347.79</v>
      </c>
      <c r="J7" s="248">
        <f>96.53+56.57</f>
        <v>153.1</v>
      </c>
      <c r="K7" s="249">
        <v>153.1</v>
      </c>
      <c r="L7" s="248">
        <f>96.53+56.57</f>
        <v>153.1</v>
      </c>
      <c r="M7" s="249">
        <v>221.9</v>
      </c>
      <c r="N7" s="248">
        <v>221.9</v>
      </c>
      <c r="O7" s="248">
        <v>275.65</v>
      </c>
      <c r="P7" s="250">
        <v>348</v>
      </c>
      <c r="Q7" s="249">
        <v>203.54</v>
      </c>
      <c r="R7" s="250">
        <v>348</v>
      </c>
      <c r="S7" s="251">
        <v>191.17</v>
      </c>
      <c r="T7" s="250">
        <v>348</v>
      </c>
      <c r="U7" s="31">
        <v>174.37</v>
      </c>
      <c r="V7" s="250">
        <v>348</v>
      </c>
      <c r="W7" s="31">
        <v>192.06</v>
      </c>
    </row>
    <row r="8" spans="1:23" s="13" customFormat="1" ht="15">
      <c r="A8" s="171">
        <v>2</v>
      </c>
      <c r="B8" s="246" t="s">
        <v>415</v>
      </c>
      <c r="C8" s="171" t="s">
        <v>414</v>
      </c>
      <c r="D8" s="247">
        <v>31.77</v>
      </c>
      <c r="E8" s="247">
        <v>236.6</v>
      </c>
      <c r="F8" s="247">
        <v>204.25</v>
      </c>
      <c r="G8" s="249">
        <v>149.87</v>
      </c>
      <c r="H8" s="249">
        <v>350</v>
      </c>
      <c r="I8" s="249">
        <v>347.79</v>
      </c>
      <c r="J8" s="249">
        <f>+J7</f>
        <v>153.1</v>
      </c>
      <c r="K8" s="249">
        <v>153.1</v>
      </c>
      <c r="L8" s="249">
        <f>+L7</f>
        <v>153.1</v>
      </c>
      <c r="M8" s="249">
        <v>186.54</v>
      </c>
      <c r="N8" s="249">
        <v>186.54</v>
      </c>
      <c r="O8" s="249">
        <v>247.26</v>
      </c>
      <c r="P8" s="250">
        <v>348</v>
      </c>
      <c r="Q8" s="249">
        <v>203.54</v>
      </c>
      <c r="R8" s="250">
        <v>348</v>
      </c>
      <c r="S8" s="251">
        <v>191.17</v>
      </c>
      <c r="T8" s="250">
        <v>348</v>
      </c>
      <c r="U8" s="31">
        <v>174.37</v>
      </c>
      <c r="V8" s="250">
        <v>348</v>
      </c>
      <c r="W8" s="31">
        <v>192.06</v>
      </c>
    </row>
    <row r="9" spans="1:23" s="13" customFormat="1" ht="15">
      <c r="A9" s="171">
        <v>3</v>
      </c>
      <c r="B9" s="246" t="s">
        <v>416</v>
      </c>
      <c r="C9" s="171" t="s">
        <v>417</v>
      </c>
      <c r="D9" s="247">
        <v>0</v>
      </c>
      <c r="E9" s="247">
        <v>0</v>
      </c>
      <c r="F9" s="247">
        <v>0</v>
      </c>
      <c r="G9" s="249">
        <v>0</v>
      </c>
      <c r="H9" s="379">
        <v>170</v>
      </c>
      <c r="I9" s="249">
        <v>2.89</v>
      </c>
      <c r="J9" s="379">
        <v>152.43</v>
      </c>
      <c r="K9" s="248">
        <v>2.42</v>
      </c>
      <c r="L9" s="379">
        <v>164.9</v>
      </c>
      <c r="M9" s="248">
        <v>1.42</v>
      </c>
      <c r="N9" s="379">
        <v>164.9</v>
      </c>
      <c r="O9" s="252">
        <v>1.5</v>
      </c>
      <c r="P9" s="380">
        <v>164.9</v>
      </c>
      <c r="Q9" s="249">
        <v>2.35</v>
      </c>
      <c r="R9" s="379">
        <v>143.9</v>
      </c>
      <c r="S9" s="250">
        <v>2.3</v>
      </c>
      <c r="T9" s="379">
        <v>143.9</v>
      </c>
      <c r="U9" s="253">
        <v>2.3</v>
      </c>
      <c r="V9" s="379">
        <v>143.9</v>
      </c>
      <c r="W9" s="253">
        <v>2.21</v>
      </c>
    </row>
    <row r="10" spans="1:23" s="13" customFormat="1" ht="15">
      <c r="A10" s="171">
        <v>4</v>
      </c>
      <c r="B10" s="246" t="s">
        <v>418</v>
      </c>
      <c r="C10" s="171" t="s">
        <v>417</v>
      </c>
      <c r="D10" s="247">
        <v>26.1</v>
      </c>
      <c r="E10" s="247">
        <v>154.8</v>
      </c>
      <c r="F10" s="247">
        <v>133.06</v>
      </c>
      <c r="G10" s="249">
        <v>172.09</v>
      </c>
      <c r="H10" s="379"/>
      <c r="I10" s="249">
        <v>128.51</v>
      </c>
      <c r="J10" s="379"/>
      <c r="K10" s="249">
        <v>128.792</v>
      </c>
      <c r="L10" s="379"/>
      <c r="M10" s="249">
        <v>105.73</v>
      </c>
      <c r="N10" s="379"/>
      <c r="O10" s="252">
        <v>126.47</v>
      </c>
      <c r="P10" s="380"/>
      <c r="Q10" s="249">
        <v>121.21</v>
      </c>
      <c r="R10" s="379"/>
      <c r="S10" s="250">
        <v>123.44</v>
      </c>
      <c r="T10" s="379"/>
      <c r="U10" s="31">
        <v>132.43</v>
      </c>
      <c r="V10" s="379"/>
      <c r="W10" s="31">
        <v>122.14</v>
      </c>
    </row>
    <row r="11" spans="1:23" s="13" customFormat="1" ht="15">
      <c r="A11" s="171">
        <v>5</v>
      </c>
      <c r="B11" s="246" t="s">
        <v>419</v>
      </c>
      <c r="C11" s="171" t="s">
        <v>420</v>
      </c>
      <c r="D11" s="247">
        <v>429</v>
      </c>
      <c r="E11" s="247">
        <v>48597</v>
      </c>
      <c r="F11" s="247">
        <v>54550</v>
      </c>
      <c r="G11" s="249">
        <v>39793</v>
      </c>
      <c r="H11" s="249">
        <v>50000</v>
      </c>
      <c r="I11" s="249">
        <v>46902.65</v>
      </c>
      <c r="J11" s="249">
        <v>48000</v>
      </c>
      <c r="K11" s="249">
        <v>38291.81</v>
      </c>
      <c r="L11" s="249">
        <v>48500</v>
      </c>
      <c r="M11" s="249">
        <v>40453.19</v>
      </c>
      <c r="N11" s="249">
        <v>48500</v>
      </c>
      <c r="O11" s="249">
        <v>42613.48</v>
      </c>
      <c r="P11" s="250">
        <v>48500</v>
      </c>
      <c r="Q11" s="249">
        <v>36162</v>
      </c>
      <c r="R11" s="250">
        <v>48500</v>
      </c>
      <c r="S11" s="250">
        <v>35503</v>
      </c>
      <c r="T11" s="250">
        <v>48500</v>
      </c>
      <c r="U11" s="249">
        <v>37030</v>
      </c>
      <c r="V11" s="250">
        <v>48500</v>
      </c>
      <c r="W11" s="249">
        <v>36809</v>
      </c>
    </row>
    <row r="12" spans="1:23" s="13" customFormat="1" ht="15">
      <c r="A12" s="221"/>
      <c r="B12" s="228" t="s">
        <v>421</v>
      </c>
      <c r="C12" s="221"/>
      <c r="D12" s="254"/>
      <c r="E12" s="254"/>
      <c r="F12" s="254"/>
      <c r="G12" s="244"/>
      <c r="H12" s="244"/>
      <c r="I12" s="244"/>
      <c r="J12" s="244"/>
      <c r="K12" s="244"/>
      <c r="L12" s="244"/>
      <c r="M12" s="244"/>
      <c r="N12" s="244"/>
      <c r="O12" s="244"/>
      <c r="P12" s="245"/>
      <c r="Q12" s="244"/>
      <c r="R12" s="245"/>
      <c r="S12" s="245"/>
      <c r="T12" s="242"/>
      <c r="U12" s="242"/>
      <c r="V12" s="242"/>
      <c r="W12" s="242"/>
    </row>
    <row r="13" spans="1:23" s="13" customFormat="1" ht="15">
      <c r="A13" s="171">
        <v>1</v>
      </c>
      <c r="B13" s="246" t="s">
        <v>413</v>
      </c>
      <c r="C13" s="171" t="s">
        <v>422</v>
      </c>
      <c r="D13" s="247">
        <f>(10.89+9.45+9.22)/3</f>
        <v>9.853333333333333</v>
      </c>
      <c r="E13" s="247">
        <f>(10.4+18.81+15.94)/3</f>
        <v>15.049999999999999</v>
      </c>
      <c r="F13" s="247">
        <v>13.74</v>
      </c>
      <c r="G13" s="248">
        <f>2648.66/G7</f>
        <v>17.673049976646425</v>
      </c>
      <c r="H13" s="248">
        <f>(14.08+(17.91+18.45/2))/2</f>
        <v>20.607499999999998</v>
      </c>
      <c r="I13" s="249">
        <f>5412.53/I7</f>
        <v>15.562638373731273</v>
      </c>
      <c r="J13" s="248">
        <v>20.65</v>
      </c>
      <c r="K13" s="249">
        <f>2983.66/K7</f>
        <v>19.488308295231874</v>
      </c>
      <c r="L13" s="248">
        <v>20.65</v>
      </c>
      <c r="M13" s="249">
        <f>5391.38/M7</f>
        <v>24.29643983776476</v>
      </c>
      <c r="N13" s="248">
        <v>24.3</v>
      </c>
      <c r="O13" s="248">
        <v>29.97</v>
      </c>
      <c r="P13" s="251">
        <v>29.97</v>
      </c>
      <c r="Q13" s="249">
        <v>32.58</v>
      </c>
      <c r="R13" s="251">
        <v>32.58</v>
      </c>
      <c r="S13" s="250">
        <v>35.01</v>
      </c>
      <c r="T13" s="249">
        <v>35.01</v>
      </c>
      <c r="U13" s="249">
        <v>32.85</v>
      </c>
      <c r="V13" s="249">
        <v>35.01</v>
      </c>
      <c r="W13" s="249">
        <f>6324.58/192.06</f>
        <v>32.9302301364157</v>
      </c>
    </row>
    <row r="14" spans="1:23" s="13" customFormat="1" ht="15">
      <c r="A14" s="171">
        <v>2</v>
      </c>
      <c r="B14" s="246" t="s">
        <v>415</v>
      </c>
      <c r="C14" s="171" t="s">
        <v>422</v>
      </c>
      <c r="D14" s="247">
        <f>(10.28+7.64+8.71)/3</f>
        <v>8.876666666666667</v>
      </c>
      <c r="E14" s="247">
        <f>(8.11+12.24+10.37)/3</f>
        <v>10.24</v>
      </c>
      <c r="F14" s="247">
        <v>10.27</v>
      </c>
      <c r="G14" s="248">
        <f>1799.9/G8</f>
        <v>12.009741776206045</v>
      </c>
      <c r="H14" s="249">
        <f>(10.82+(11.48+12.16)/2)/2</f>
        <v>11.32</v>
      </c>
      <c r="I14" s="249">
        <f>3894.17/I8</f>
        <v>11.196900428419449</v>
      </c>
      <c r="J14" s="248">
        <v>12.3</v>
      </c>
      <c r="K14" s="249">
        <f>1861.25/K8</f>
        <v>12.157086871325932</v>
      </c>
      <c r="L14" s="248">
        <v>12.3</v>
      </c>
      <c r="M14" s="249">
        <f>3451.67/M8</f>
        <v>18.50364533076016</v>
      </c>
      <c r="N14" s="248">
        <v>18.5</v>
      </c>
      <c r="O14" s="248">
        <v>23.69</v>
      </c>
      <c r="P14" s="251">
        <v>23.69</v>
      </c>
      <c r="Q14" s="249">
        <v>26.1</v>
      </c>
      <c r="R14" s="251">
        <v>26.1</v>
      </c>
      <c r="S14" s="250">
        <v>28.55</v>
      </c>
      <c r="T14" s="249">
        <v>28.55</v>
      </c>
      <c r="U14" s="249">
        <v>21.41</v>
      </c>
      <c r="V14" s="249">
        <v>28.55</v>
      </c>
      <c r="W14" s="249">
        <f>5139.39/192.06</f>
        <v>26.75929397063418</v>
      </c>
    </row>
    <row r="15" spans="1:23" s="13" customFormat="1" ht="15">
      <c r="A15" s="171">
        <v>3</v>
      </c>
      <c r="B15" s="246" t="s">
        <v>416</v>
      </c>
      <c r="C15" s="171" t="s">
        <v>422</v>
      </c>
      <c r="D15" s="247">
        <v>0</v>
      </c>
      <c r="E15" s="247">
        <v>0</v>
      </c>
      <c r="F15" s="247">
        <v>0</v>
      </c>
      <c r="G15" s="249">
        <v>0</v>
      </c>
      <c r="H15" s="249">
        <f>(+(2627.695+3024.482)/2+(1992.49+2293.35)/2+2926.164)/3</f>
        <v>2631.724166666667</v>
      </c>
      <c r="I15" s="249">
        <f>8109.07/I9</f>
        <v>2805.9065743944634</v>
      </c>
      <c r="J15" s="248">
        <v>2725.27</v>
      </c>
      <c r="K15" s="248">
        <v>2813.91</v>
      </c>
      <c r="L15" s="248">
        <v>2725.27</v>
      </c>
      <c r="M15" s="248">
        <f>4907.58/M9</f>
        <v>3456.042253521127</v>
      </c>
      <c r="N15" s="248">
        <v>4488.41</v>
      </c>
      <c r="O15" s="248">
        <v>4745.49</v>
      </c>
      <c r="P15" s="251">
        <v>4745.49</v>
      </c>
      <c r="Q15" s="249">
        <v>4500.21</v>
      </c>
      <c r="R15" s="251">
        <v>4500.21</v>
      </c>
      <c r="S15" s="250">
        <v>4271.77</v>
      </c>
      <c r="T15" s="249">
        <v>4271.77</v>
      </c>
      <c r="U15" s="249">
        <v>4486.12</v>
      </c>
      <c r="V15" s="249">
        <v>4486.12</v>
      </c>
      <c r="W15" s="249">
        <f>8672.92/2.2128</f>
        <v>3919.4323933477945</v>
      </c>
    </row>
    <row r="16" spans="1:23" s="13" customFormat="1" ht="15">
      <c r="A16" s="171">
        <v>4</v>
      </c>
      <c r="B16" s="246" t="s">
        <v>418</v>
      </c>
      <c r="C16" s="171" t="s">
        <v>422</v>
      </c>
      <c r="D16" s="247">
        <v>1826.87</v>
      </c>
      <c r="E16" s="247">
        <v>2016.97</v>
      </c>
      <c r="F16" s="247">
        <v>2229.62</v>
      </c>
      <c r="G16" s="249">
        <f>404834.02/G10</f>
        <v>2352.4552269161486</v>
      </c>
      <c r="H16" s="249">
        <f>(+(2627.695+3024.482)/2+(2381.49+2741.09)/2+(1992.49+2293.35)/2+2926.164)/4</f>
        <v>2614.115625</v>
      </c>
      <c r="I16" s="249">
        <f>345502.32/I10</f>
        <v>2688.5247840634975</v>
      </c>
      <c r="J16" s="248">
        <v>2725.27</v>
      </c>
      <c r="K16" s="249">
        <f>373220.31/K10</f>
        <v>2897.8532051680227</v>
      </c>
      <c r="L16" s="248">
        <v>2725.27</v>
      </c>
      <c r="M16" s="249">
        <f>335736.93/M10</f>
        <v>3175.4178568050693</v>
      </c>
      <c r="N16" s="248">
        <v>4488.41</v>
      </c>
      <c r="O16" s="248">
        <v>4487.55</v>
      </c>
      <c r="P16" s="251">
        <v>4487.55</v>
      </c>
      <c r="Q16" s="249">
        <v>4500.21</v>
      </c>
      <c r="R16" s="251">
        <v>4500.21</v>
      </c>
      <c r="S16" s="250">
        <v>4500.21</v>
      </c>
      <c r="T16" s="249">
        <v>4500.21</v>
      </c>
      <c r="U16" s="249">
        <v>4891.65</v>
      </c>
      <c r="V16" s="249">
        <v>4891.65</v>
      </c>
      <c r="W16" s="249">
        <f>561859.6/122.143158</f>
        <v>4600.0087864111065</v>
      </c>
    </row>
    <row r="17" spans="1:23" s="13" customFormat="1" ht="15">
      <c r="A17" s="171">
        <v>5</v>
      </c>
      <c r="B17" s="246" t="s">
        <v>419</v>
      </c>
      <c r="C17" s="171" t="s">
        <v>422</v>
      </c>
      <c r="D17" s="247">
        <v>3.11</v>
      </c>
      <c r="E17" s="247">
        <v>4.29</v>
      </c>
      <c r="F17" s="247">
        <v>4.4</v>
      </c>
      <c r="G17" s="249">
        <f>162741.38/G11</f>
        <v>4.089698690724499</v>
      </c>
      <c r="H17" s="249">
        <f>(3.64+3.53+3.35)/3</f>
        <v>3.5066666666666664</v>
      </c>
      <c r="I17" s="249">
        <f>202878.73/I11</f>
        <v>4.325528088498198</v>
      </c>
      <c r="J17" s="248">
        <v>4.83</v>
      </c>
      <c r="K17" s="249">
        <f>160789.66/K11</f>
        <v>4.199061365863876</v>
      </c>
      <c r="L17" s="248">
        <v>4.83</v>
      </c>
      <c r="M17" s="249">
        <f>190759/M11</f>
        <v>4.7155490086195915</v>
      </c>
      <c r="N17" s="248">
        <v>5.01</v>
      </c>
      <c r="O17" s="248">
        <v>5.07</v>
      </c>
      <c r="P17" s="251">
        <v>5.07</v>
      </c>
      <c r="Q17" s="249">
        <v>5.14</v>
      </c>
      <c r="R17" s="251">
        <v>5.14</v>
      </c>
      <c r="S17" s="250">
        <v>5.33</v>
      </c>
      <c r="T17" s="249">
        <v>5.33</v>
      </c>
      <c r="U17" s="249">
        <v>5.92</v>
      </c>
      <c r="V17" s="249">
        <v>5.92</v>
      </c>
      <c r="W17" s="249">
        <f>224635.26/36809</f>
        <v>6.102726507104241</v>
      </c>
    </row>
    <row r="20" spans="9:16" ht="12.75">
      <c r="I20" s="255"/>
      <c r="J20" s="255"/>
      <c r="K20" s="255"/>
      <c r="L20" s="255"/>
      <c r="M20" s="255"/>
      <c r="N20" s="255"/>
      <c r="O20" s="255"/>
      <c r="P20" s="255"/>
    </row>
    <row r="21" spans="9:16" ht="12.75">
      <c r="I21" s="255"/>
      <c r="J21" s="255"/>
      <c r="K21" s="255"/>
      <c r="L21" s="255"/>
      <c r="M21" s="255"/>
      <c r="N21" s="255"/>
      <c r="O21" s="255"/>
      <c r="P21" s="255"/>
    </row>
    <row r="22" spans="9:16" ht="12.75">
      <c r="I22" s="255"/>
      <c r="J22" s="255"/>
      <c r="K22" s="255"/>
      <c r="L22" s="255"/>
      <c r="M22" s="255"/>
      <c r="N22" s="255"/>
      <c r="O22" s="255"/>
      <c r="P22" s="255"/>
    </row>
    <row r="23" spans="11:16" ht="12.75">
      <c r="K23" s="255"/>
      <c r="M23" s="255"/>
      <c r="P23" s="255"/>
    </row>
    <row r="25" spans="9:16" ht="12.75">
      <c r="I25" s="255"/>
      <c r="J25" s="255"/>
      <c r="K25" s="255"/>
      <c r="L25" s="255"/>
      <c r="M25" s="255"/>
      <c r="N25" s="255"/>
      <c r="O25" s="255"/>
      <c r="P25" s="255"/>
    </row>
    <row r="26" spans="10:15" ht="12.75">
      <c r="J26" s="255"/>
      <c r="L26" s="255"/>
      <c r="N26" s="255"/>
      <c r="O26" s="255"/>
    </row>
    <row r="28" spans="11:16" ht="12.75">
      <c r="K28" s="255"/>
      <c r="M28" s="255"/>
      <c r="P28" s="255"/>
    </row>
    <row r="29" spans="11:16" ht="12.75">
      <c r="K29" s="255"/>
      <c r="M29" s="255"/>
      <c r="P29" s="255"/>
    </row>
  </sheetData>
  <sheetProtection selectLockedCells="1" selectUnlockedCells="1"/>
  <mergeCells count="11">
    <mergeCell ref="L9:L10"/>
    <mergeCell ref="N9:N10"/>
    <mergeCell ref="P9:P10"/>
    <mergeCell ref="R9:R10"/>
    <mergeCell ref="T9:T10"/>
    <mergeCell ref="V9:V10"/>
    <mergeCell ref="A1:D1"/>
    <mergeCell ref="A2:F2"/>
    <mergeCell ref="A3:D3"/>
    <mergeCell ref="H9:H10"/>
    <mergeCell ref="J9:J10"/>
  </mergeCells>
  <printOptions/>
  <pageMargins left="0.7875" right="0.5902777777777778" top="0.5902777777777778" bottom="0.78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N47"/>
  <sheetViews>
    <sheetView tabSelected="1" zoomScalePageLayoutView="0" workbookViewId="0" topLeftCell="A1">
      <pane xSplit="3" ySplit="5" topLeftCell="F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M2" sqref="M2"/>
    </sheetView>
  </sheetViews>
  <sheetFormatPr defaultColWidth="9.50390625" defaultRowHeight="12.75"/>
  <cols>
    <col min="1" max="1" width="6.50390625" style="192" customWidth="1"/>
    <col min="2" max="2" width="42.50390625" style="192" customWidth="1"/>
    <col min="3" max="3" width="17.50390625" style="192" customWidth="1"/>
    <col min="4" max="8" width="10.50390625" style="192" customWidth="1"/>
    <col min="9" max="9" width="12.50390625" style="192" customWidth="1"/>
    <col min="10" max="10" width="11.50390625" style="192" customWidth="1"/>
    <col min="11" max="11" width="13.50390625" style="192" customWidth="1"/>
    <col min="12" max="12" width="12.625" style="192" customWidth="1"/>
    <col min="13" max="13" width="12.375" style="192" customWidth="1"/>
    <col min="14" max="14" width="16.50390625" style="192" customWidth="1"/>
    <col min="15" max="16384" width="9.50390625" style="192" customWidth="1"/>
  </cols>
  <sheetData>
    <row r="1" spans="1:4" ht="15">
      <c r="A1" s="356" t="s">
        <v>423</v>
      </c>
      <c r="B1" s="356"/>
      <c r="C1" s="356"/>
      <c r="D1" s="356"/>
    </row>
    <row r="2" spans="1:5" ht="15">
      <c r="A2" s="381" t="s">
        <v>24</v>
      </c>
      <c r="B2" s="381"/>
      <c r="C2" s="381"/>
      <c r="D2" s="381"/>
      <c r="E2" s="381"/>
    </row>
    <row r="3" spans="1:4" ht="12.75">
      <c r="A3" s="382" t="s">
        <v>25</v>
      </c>
      <c r="B3" s="382"/>
      <c r="C3" s="382"/>
      <c r="D3" s="382"/>
    </row>
    <row r="4" spans="1:4" ht="15">
      <c r="A4" s="72"/>
      <c r="B4" s="72"/>
      <c r="C4" s="72"/>
      <c r="D4" s="72"/>
    </row>
    <row r="5" spans="1:14" ht="14.25" customHeight="1">
      <c r="A5" s="169" t="s">
        <v>207</v>
      </c>
      <c r="B5" s="169" t="s">
        <v>208</v>
      </c>
      <c r="C5" s="169" t="s">
        <v>280</v>
      </c>
      <c r="D5" s="81" t="s">
        <v>424</v>
      </c>
      <c r="E5" s="81" t="s">
        <v>425</v>
      </c>
      <c r="F5" s="81" t="s">
        <v>426</v>
      </c>
      <c r="G5" s="81" t="s">
        <v>427</v>
      </c>
      <c r="H5" s="81" t="s">
        <v>428</v>
      </c>
      <c r="I5" s="81" t="s">
        <v>429</v>
      </c>
      <c r="J5" s="256" t="s">
        <v>430</v>
      </c>
      <c r="K5" s="81" t="s">
        <v>431</v>
      </c>
      <c r="L5" s="256" t="s">
        <v>432</v>
      </c>
      <c r="M5" s="256" t="s">
        <v>433</v>
      </c>
      <c r="N5" s="81" t="s">
        <v>674</v>
      </c>
    </row>
    <row r="6" spans="1:14" ht="15">
      <c r="A6" s="182">
        <v>1</v>
      </c>
      <c r="B6" s="223" t="s">
        <v>434</v>
      </c>
      <c r="C6" s="182" t="s">
        <v>435</v>
      </c>
      <c r="D6" s="257">
        <f>4578958.58/1000</f>
        <v>4578.95858</v>
      </c>
      <c r="E6" s="257">
        <f>4578958.58/1000</f>
        <v>4578.95858</v>
      </c>
      <c r="F6" s="257">
        <f>4578958.58/1000</f>
        <v>4578.95858</v>
      </c>
      <c r="G6" s="257">
        <f>4578958.58/1000</f>
        <v>4578.95858</v>
      </c>
      <c r="H6" s="257">
        <f>4578958.58/1000</f>
        <v>4578.95858</v>
      </c>
      <c r="I6" s="257">
        <f>(4578958.58+1638680.74)/1000</f>
        <v>6217.63932</v>
      </c>
      <c r="J6" s="258">
        <f>(4578958.58+1638680.74)/1000</f>
        <v>6217.63932</v>
      </c>
      <c r="K6" s="259">
        <v>6217.64</v>
      </c>
      <c r="L6" s="260">
        <v>7879.536</v>
      </c>
      <c r="M6" s="391">
        <v>7879.54</v>
      </c>
      <c r="N6" s="391">
        <f>7879536.72/1000</f>
        <v>7879.53672</v>
      </c>
    </row>
    <row r="7" spans="1:14" ht="15">
      <c r="A7" s="182">
        <v>2</v>
      </c>
      <c r="B7" s="223" t="s">
        <v>436</v>
      </c>
      <c r="C7" s="182" t="s">
        <v>437</v>
      </c>
      <c r="D7" s="60">
        <v>34.7</v>
      </c>
      <c r="E7" s="60">
        <v>35.5</v>
      </c>
      <c r="F7" s="60">
        <v>36.3</v>
      </c>
      <c r="G7" s="60">
        <v>37.1</v>
      </c>
      <c r="H7" s="60">
        <v>37.9</v>
      </c>
      <c r="I7" s="60">
        <v>34.98</v>
      </c>
      <c r="J7" s="261">
        <v>35.77</v>
      </c>
      <c r="K7" s="259">
        <v>36.48</v>
      </c>
      <c r="L7" s="260">
        <f>(3979682.59/7879536.72)*100</f>
        <v>50.50655554277308</v>
      </c>
      <c r="M7" s="392">
        <f>(4027796.47/7879536.72)*100</f>
        <v>51.1171736756625</v>
      </c>
      <c r="N7" s="392">
        <f>(4080573.79/7879536.72)*100</f>
        <v>51.786975998761505</v>
      </c>
    </row>
    <row r="8" spans="1:14" ht="15">
      <c r="A8" s="182">
        <v>3</v>
      </c>
      <c r="B8" s="223" t="s">
        <v>438</v>
      </c>
      <c r="C8" s="182" t="s">
        <v>435</v>
      </c>
      <c r="D8" s="60" t="s">
        <v>64</v>
      </c>
      <c r="E8" s="60" t="s">
        <v>64</v>
      </c>
      <c r="F8" s="60" t="s">
        <v>64</v>
      </c>
      <c r="G8" s="60" t="s">
        <v>64</v>
      </c>
      <c r="H8" s="60" t="s">
        <v>64</v>
      </c>
      <c r="I8" s="60" t="s">
        <v>64</v>
      </c>
      <c r="J8" s="261" t="s">
        <v>64</v>
      </c>
      <c r="K8" s="259" t="s">
        <v>64</v>
      </c>
      <c r="L8" s="260" t="s">
        <v>64</v>
      </c>
      <c r="M8" s="393" t="s">
        <v>64</v>
      </c>
      <c r="N8" s="393" t="s">
        <v>64</v>
      </c>
    </row>
    <row r="9" spans="1:14" ht="15">
      <c r="A9" s="182">
        <v>4</v>
      </c>
      <c r="B9" s="223" t="s">
        <v>439</v>
      </c>
      <c r="C9" s="182"/>
      <c r="D9" s="60"/>
      <c r="E9" s="60"/>
      <c r="F9" s="60"/>
      <c r="G9" s="60"/>
      <c r="H9" s="60"/>
      <c r="I9" s="60"/>
      <c r="J9" s="261"/>
      <c r="K9" s="259"/>
      <c r="L9" s="260"/>
      <c r="M9" s="393"/>
      <c r="N9" s="393"/>
    </row>
    <row r="10" spans="1:14" ht="15">
      <c r="A10" s="182" t="s">
        <v>267</v>
      </c>
      <c r="B10" s="223" t="s">
        <v>344</v>
      </c>
      <c r="C10" s="182" t="s">
        <v>284</v>
      </c>
      <c r="D10" s="60" t="s">
        <v>64</v>
      </c>
      <c r="E10" s="60" t="s">
        <v>64</v>
      </c>
      <c r="F10" s="60" t="s">
        <v>64</v>
      </c>
      <c r="G10" s="60" t="s">
        <v>64</v>
      </c>
      <c r="H10" s="60" t="s">
        <v>64</v>
      </c>
      <c r="I10" s="60" t="s">
        <v>64</v>
      </c>
      <c r="J10" s="261" t="s">
        <v>64</v>
      </c>
      <c r="K10" s="259" t="s">
        <v>64</v>
      </c>
      <c r="L10" s="260" t="s">
        <v>64</v>
      </c>
      <c r="M10" s="393" t="s">
        <v>64</v>
      </c>
      <c r="N10" s="393" t="s">
        <v>64</v>
      </c>
    </row>
    <row r="11" spans="1:14" ht="15">
      <c r="A11" s="182" t="s">
        <v>440</v>
      </c>
      <c r="B11" s="223" t="s">
        <v>441</v>
      </c>
      <c r="C11" s="182" t="s">
        <v>284</v>
      </c>
      <c r="D11" s="60" t="s">
        <v>64</v>
      </c>
      <c r="E11" s="60" t="s">
        <v>64</v>
      </c>
      <c r="F11" s="60" t="s">
        <v>64</v>
      </c>
      <c r="G11" s="60" t="s">
        <v>64</v>
      </c>
      <c r="H11" s="60" t="s">
        <v>64</v>
      </c>
      <c r="I11" s="60" t="s">
        <v>64</v>
      </c>
      <c r="J11" s="261" t="s">
        <v>64</v>
      </c>
      <c r="K11" s="259" t="s">
        <v>64</v>
      </c>
      <c r="L11" s="260" t="s">
        <v>64</v>
      </c>
      <c r="M11" s="393" t="s">
        <v>64</v>
      </c>
      <c r="N11" s="393" t="s">
        <v>64</v>
      </c>
    </row>
    <row r="12" spans="1:14" ht="15">
      <c r="A12" s="182" t="s">
        <v>442</v>
      </c>
      <c r="B12" s="223" t="s">
        <v>443</v>
      </c>
      <c r="C12" s="182" t="s">
        <v>284</v>
      </c>
      <c r="D12" s="60" t="s">
        <v>64</v>
      </c>
      <c r="E12" s="60" t="s">
        <v>64</v>
      </c>
      <c r="F12" s="60" t="s">
        <v>64</v>
      </c>
      <c r="G12" s="60" t="s">
        <v>64</v>
      </c>
      <c r="H12" s="60" t="s">
        <v>64</v>
      </c>
      <c r="I12" s="60" t="s">
        <v>64</v>
      </c>
      <c r="J12" s="261" t="s">
        <v>64</v>
      </c>
      <c r="K12" s="259" t="s">
        <v>64</v>
      </c>
      <c r="L12" s="260" t="s">
        <v>64</v>
      </c>
      <c r="M12" s="393" t="s">
        <v>64</v>
      </c>
      <c r="N12" s="393" t="s">
        <v>64</v>
      </c>
    </row>
    <row r="13" spans="1:14" ht="15">
      <c r="A13" s="182">
        <v>5</v>
      </c>
      <c r="B13" s="223" t="s">
        <v>444</v>
      </c>
      <c r="C13" s="182" t="s">
        <v>435</v>
      </c>
      <c r="D13" s="257">
        <v>7987.5</v>
      </c>
      <c r="E13" s="257">
        <v>8350.7</v>
      </c>
      <c r="F13" s="257">
        <v>8480.5</v>
      </c>
      <c r="G13" s="257">
        <v>8480.5</v>
      </c>
      <c r="H13" s="257">
        <v>7811.77</v>
      </c>
      <c r="I13" s="257">
        <f>10551183.9/1000</f>
        <v>10551.1839</v>
      </c>
      <c r="J13" s="258">
        <v>11039.27</v>
      </c>
      <c r="K13" s="257">
        <v>11395.82</v>
      </c>
      <c r="L13" s="258">
        <v>13877.54</v>
      </c>
      <c r="M13" s="394">
        <f>13783360.1/1000</f>
        <v>13783.3601</v>
      </c>
      <c r="N13" s="394">
        <v>13684.43</v>
      </c>
    </row>
    <row r="14" spans="1:14" ht="15">
      <c r="A14" s="182">
        <v>6</v>
      </c>
      <c r="B14" s="223" t="s">
        <v>445</v>
      </c>
      <c r="C14" s="182" t="s">
        <v>437</v>
      </c>
      <c r="D14" s="262">
        <v>57.85</v>
      </c>
      <c r="E14" s="262">
        <v>59.72</v>
      </c>
      <c r="F14" s="262">
        <v>63.02</v>
      </c>
      <c r="G14" s="262">
        <v>64.7</v>
      </c>
      <c r="H14" s="262">
        <f>100-((H22/H13)*100)</f>
        <v>63.28194506494687</v>
      </c>
      <c r="I14" s="262">
        <f>100-((I22/I13)*100)</f>
        <v>57.7831946422619</v>
      </c>
      <c r="J14" s="263">
        <v>59.5</v>
      </c>
      <c r="K14" s="264">
        <v>61.81</v>
      </c>
      <c r="L14" s="265">
        <f>(9149.915/13877.539)*100</f>
        <v>65.93326813925727</v>
      </c>
      <c r="M14" s="395">
        <f>(9348167.66/13783360.1)*100</f>
        <v>67.82212459210146</v>
      </c>
      <c r="N14" s="395">
        <f>+(9519688.51/13684427.97)*100</f>
        <v>69.56584908678502</v>
      </c>
    </row>
    <row r="15" spans="1:14" ht="15">
      <c r="A15" s="182" t="s">
        <v>446</v>
      </c>
      <c r="B15" s="223" t="s">
        <v>447</v>
      </c>
      <c r="C15" s="182" t="s">
        <v>437</v>
      </c>
      <c r="D15" s="262" t="s">
        <v>64</v>
      </c>
      <c r="E15" s="262" t="s">
        <v>64</v>
      </c>
      <c r="F15" s="262" t="s">
        <v>64</v>
      </c>
      <c r="G15" s="262" t="s">
        <v>64</v>
      </c>
      <c r="H15" s="262" t="s">
        <v>64</v>
      </c>
      <c r="I15" s="262" t="s">
        <v>64</v>
      </c>
      <c r="J15" s="263" t="s">
        <v>64</v>
      </c>
      <c r="K15" s="259" t="s">
        <v>64</v>
      </c>
      <c r="L15" s="260" t="s">
        <v>64</v>
      </c>
      <c r="M15" s="393" t="s">
        <v>64</v>
      </c>
      <c r="N15" s="393" t="s">
        <v>64</v>
      </c>
    </row>
    <row r="16" spans="1:14" ht="15">
      <c r="A16" s="182" t="s">
        <v>448</v>
      </c>
      <c r="B16" s="223" t="s">
        <v>449</v>
      </c>
      <c r="C16" s="182" t="s">
        <v>437</v>
      </c>
      <c r="D16" s="262">
        <v>98.1</v>
      </c>
      <c r="E16" s="262">
        <v>98.2</v>
      </c>
      <c r="F16" s="262">
        <v>98.4</v>
      </c>
      <c r="G16" s="262">
        <v>98.5</v>
      </c>
      <c r="H16" s="262">
        <v>98.6</v>
      </c>
      <c r="I16" s="262">
        <v>95.95</v>
      </c>
      <c r="J16" s="263">
        <v>96.9</v>
      </c>
      <c r="K16" s="264">
        <v>99.27</v>
      </c>
      <c r="L16" s="265">
        <f>(1556769.99/1566889.63)*100</f>
        <v>99.35415744630336</v>
      </c>
      <c r="M16" s="395">
        <f>(1907337.14/1916535.18)*100</f>
        <v>99.52006933679141</v>
      </c>
      <c r="N16" s="395">
        <f>+(1546269.54/1554545.98)*100</f>
        <v>99.46759760685883</v>
      </c>
    </row>
    <row r="17" spans="1:14" ht="15">
      <c r="A17" s="182" t="s">
        <v>450</v>
      </c>
      <c r="B17" s="223" t="s">
        <v>451</v>
      </c>
      <c r="C17" s="182" t="s">
        <v>437</v>
      </c>
      <c r="D17" s="262" t="s">
        <v>64</v>
      </c>
      <c r="E17" s="262" t="s">
        <v>64</v>
      </c>
      <c r="F17" s="262" t="s">
        <v>64</v>
      </c>
      <c r="G17" s="262" t="s">
        <v>64</v>
      </c>
      <c r="H17" s="262" t="s">
        <v>64</v>
      </c>
      <c r="I17" s="262" t="s">
        <v>64</v>
      </c>
      <c r="J17" s="263" t="s">
        <v>64</v>
      </c>
      <c r="K17" s="259" t="s">
        <v>64</v>
      </c>
      <c r="L17" s="260" t="s">
        <v>64</v>
      </c>
      <c r="M17" s="393" t="s">
        <v>64</v>
      </c>
      <c r="N17" s="393" t="s">
        <v>64</v>
      </c>
    </row>
    <row r="18" spans="1:14" ht="15">
      <c r="A18" s="182" t="s">
        <v>452</v>
      </c>
      <c r="B18" s="223" t="s">
        <v>453</v>
      </c>
      <c r="C18" s="182" t="s">
        <v>437</v>
      </c>
      <c r="D18" s="262">
        <v>90.2</v>
      </c>
      <c r="E18" s="262">
        <v>86</v>
      </c>
      <c r="F18" s="262">
        <v>90.9</v>
      </c>
      <c r="G18" s="262">
        <v>95.5</v>
      </c>
      <c r="H18" s="262">
        <v>96.8</v>
      </c>
      <c r="I18" s="262">
        <v>99.28</v>
      </c>
      <c r="J18" s="263">
        <v>82.75</v>
      </c>
      <c r="K18" s="264">
        <v>87.75</v>
      </c>
      <c r="L18" s="265">
        <f>(3115962.71/3316113.55)*100</f>
        <v>93.96429473894223</v>
      </c>
      <c r="M18" s="395">
        <f>(3250534.1/3337288.2)*100</f>
        <v>97.40046124874681</v>
      </c>
      <c r="N18" s="395">
        <f>(3600345.27/3600345.27)*100</f>
        <v>100</v>
      </c>
    </row>
    <row r="19" spans="1:14" ht="15">
      <c r="A19" s="182" t="s">
        <v>454</v>
      </c>
      <c r="B19" s="223" t="s">
        <v>447</v>
      </c>
      <c r="C19" s="182" t="s">
        <v>437</v>
      </c>
      <c r="D19" s="262" t="s">
        <v>64</v>
      </c>
      <c r="E19" s="262" t="s">
        <v>64</v>
      </c>
      <c r="F19" s="262" t="s">
        <v>64</v>
      </c>
      <c r="G19" s="262" t="s">
        <v>64</v>
      </c>
      <c r="H19" s="262" t="s">
        <v>64</v>
      </c>
      <c r="I19" s="262" t="s">
        <v>64</v>
      </c>
      <c r="J19" s="263" t="s">
        <v>64</v>
      </c>
      <c r="K19" s="259" t="s">
        <v>64</v>
      </c>
      <c r="L19" s="260" t="s">
        <v>64</v>
      </c>
      <c r="M19" s="393" t="s">
        <v>64</v>
      </c>
      <c r="N19" s="393" t="s">
        <v>64</v>
      </c>
    </row>
    <row r="20" spans="1:14" ht="15">
      <c r="A20" s="182" t="s">
        <v>455</v>
      </c>
      <c r="B20" s="223" t="s">
        <v>456</v>
      </c>
      <c r="C20" s="182" t="s">
        <v>437</v>
      </c>
      <c r="D20" s="262" t="s">
        <v>64</v>
      </c>
      <c r="E20" s="262" t="s">
        <v>64</v>
      </c>
      <c r="F20" s="262" t="s">
        <v>64</v>
      </c>
      <c r="G20" s="262" t="s">
        <v>64</v>
      </c>
      <c r="H20" s="262" t="s">
        <v>64</v>
      </c>
      <c r="I20" s="262" t="s">
        <v>64</v>
      </c>
      <c r="J20" s="263" t="s">
        <v>64</v>
      </c>
      <c r="K20" s="259" t="s">
        <v>64</v>
      </c>
      <c r="L20" s="260" t="s">
        <v>64</v>
      </c>
      <c r="M20" s="393" t="s">
        <v>64</v>
      </c>
      <c r="N20" s="393" t="s">
        <v>64</v>
      </c>
    </row>
    <row r="21" spans="1:14" ht="15">
      <c r="A21" s="182" t="s">
        <v>457</v>
      </c>
      <c r="B21" s="223" t="s">
        <v>458</v>
      </c>
      <c r="C21" s="182" t="s">
        <v>437</v>
      </c>
      <c r="D21" s="262">
        <v>72.7</v>
      </c>
      <c r="E21" s="262">
        <v>86.9</v>
      </c>
      <c r="F21" s="262">
        <v>100</v>
      </c>
      <c r="G21" s="262">
        <v>100</v>
      </c>
      <c r="H21" s="262">
        <v>100</v>
      </c>
      <c r="I21" s="262">
        <v>100</v>
      </c>
      <c r="J21" s="263">
        <v>100</v>
      </c>
      <c r="K21" s="264">
        <v>100</v>
      </c>
      <c r="L21" s="265">
        <f>(497499.99/1115000)*100</f>
        <v>44.6188331838565</v>
      </c>
      <c r="M21" s="395">
        <f>(162499.95/650000)*100</f>
        <v>24.99999230769231</v>
      </c>
      <c r="N21" s="395">
        <f>+(292499.91/650000)*100</f>
        <v>44.99998615384615</v>
      </c>
    </row>
    <row r="22" spans="1:14" ht="15">
      <c r="A22" s="182">
        <v>7</v>
      </c>
      <c r="B22" s="223" t="s">
        <v>459</v>
      </c>
      <c r="C22" s="182" t="s">
        <v>435</v>
      </c>
      <c r="D22" s="266">
        <v>3366.6</v>
      </c>
      <c r="E22" s="266">
        <v>3363.41</v>
      </c>
      <c r="F22" s="266">
        <v>3135.89</v>
      </c>
      <c r="G22" s="266">
        <v>2994.15</v>
      </c>
      <c r="H22" s="266">
        <v>2868.33</v>
      </c>
      <c r="I22" s="266">
        <f>4454372.77/1000</f>
        <v>4454.37277</v>
      </c>
      <c r="J22" s="267">
        <v>4559.35</v>
      </c>
      <c r="K22" s="259">
        <v>4352.38</v>
      </c>
      <c r="L22" s="260">
        <v>4727.62</v>
      </c>
      <c r="M22" s="392">
        <f>(13783360.1-9348167.66)/1000</f>
        <v>4435.19244</v>
      </c>
      <c r="N22" s="394">
        <v>4164.74</v>
      </c>
    </row>
    <row r="23" ht="12.75">
      <c r="M23" s="272"/>
    </row>
    <row r="24" spans="1:13" s="270" customFormat="1" ht="13.5">
      <c r="A24" s="268" t="s">
        <v>460</v>
      </c>
      <c r="B24" s="269" t="s">
        <v>461</v>
      </c>
      <c r="M24" s="348"/>
    </row>
    <row r="25" spans="2:11" s="270" customFormat="1" ht="13.5">
      <c r="B25" s="270" t="s">
        <v>462</v>
      </c>
      <c r="K25" s="271"/>
    </row>
    <row r="26" ht="12.75">
      <c r="K26" s="272"/>
    </row>
    <row r="27" ht="12.75">
      <c r="K27" s="272"/>
    </row>
    <row r="28" ht="12.75">
      <c r="K28" s="273"/>
    </row>
    <row r="30" spans="11:12" ht="13.5">
      <c r="K30" s="274"/>
      <c r="L30" s="270"/>
    </row>
    <row r="31" ht="12.75">
      <c r="K31" s="272"/>
    </row>
    <row r="32" ht="12.75">
      <c r="K32" s="272"/>
    </row>
    <row r="33" ht="12.75">
      <c r="K33" s="273"/>
    </row>
    <row r="35" spans="11:12" ht="13.5">
      <c r="K35" s="274"/>
      <c r="L35" s="270"/>
    </row>
    <row r="36" ht="12.75">
      <c r="K36" s="272"/>
    </row>
    <row r="37" ht="12.75">
      <c r="K37" s="272"/>
    </row>
    <row r="38" ht="12.75">
      <c r="K38" s="272"/>
    </row>
    <row r="40" spans="11:12" ht="12.75">
      <c r="K40" s="274"/>
      <c r="L40" s="275"/>
    </row>
    <row r="41" spans="11:13" ht="12.75">
      <c r="K41" s="276"/>
      <c r="L41" s="277"/>
      <c r="M41" s="277"/>
    </row>
    <row r="42" spans="11:13" ht="12.75">
      <c r="K42" s="276"/>
      <c r="L42" s="277"/>
      <c r="M42" s="277"/>
    </row>
    <row r="43" spans="11:12" ht="12.75">
      <c r="K43" s="273"/>
      <c r="L43" s="275"/>
    </row>
    <row r="45" ht="12.75">
      <c r="K45" s="278"/>
    </row>
    <row r="46" ht="12.75">
      <c r="K46" s="278"/>
    </row>
    <row r="47" ht="12.75">
      <c r="K47" s="278"/>
    </row>
  </sheetData>
  <sheetProtection selectLockedCells="1" selectUnlockedCells="1"/>
  <mergeCells count="3">
    <mergeCell ref="A1:D1"/>
    <mergeCell ref="A2:E2"/>
    <mergeCell ref="A3:D3"/>
  </mergeCells>
  <printOptions/>
  <pageMargins left="0.7875" right="0.5902777777777778" top="0.5902777777777778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2021-02-15T08:33:24Z</cp:lastPrinted>
  <dcterms:modified xsi:type="dcterms:W3CDTF">2021-02-18T13:45:46Z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