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6" tabRatio="737" firstSheet="2" activeTab="7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>
    <definedName name="Excel_BuiltIn__FilterDatabase" localSheetId="2">'Госуслуги'!$A$6:$AG$60</definedName>
    <definedName name="_xlnm.Print_Titles" localSheetId="9">'Расходы'!$6:$7</definedName>
    <definedName name="_xlnm.Print_Area" localSheetId="2">'Госуслуги'!$A$1:$E$59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Заработная плата 
</t>
        </r>
      </text>
    </comment>
    <comment ref="T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W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B16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Начисления на заработную плату+ начисления по льготной дороге
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Льготный проезд к отпуску и обратно
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весь 221</t>
        </r>
      </text>
    </comment>
    <comment ref="T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W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T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W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AC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Уборка + вывоз мусора
</t>
        </r>
      </text>
    </comment>
    <comment ref="AC28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Машина. Техосмотр, ремонт техники
</t>
        </r>
      </text>
    </comment>
    <comment ref="AC2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перезарядка огнетушителей
</t>
        </r>
      </text>
    </comment>
    <comment ref="AC3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Ремонт помещений. Крыльцо
</t>
        </r>
      </text>
    </comment>
    <comment ref="B48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Пособие до 3-х лет + 3 дня за счет работодателя
</t>
        </r>
      </text>
    </comment>
    <comment ref="AF70" authorId="0">
      <text>
        <r>
          <rPr>
            <b/>
            <sz val="9"/>
            <color indexed="8"/>
            <rFont val="Tahoma"/>
            <family val="2"/>
          </rPr>
          <t xml:space="preserve">ЛБО
</t>
        </r>
      </text>
    </comment>
    <comment ref="AK7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P7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U7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E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E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E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E20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E21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E23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5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6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E29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E30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E31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E33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E34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E36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E37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E39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E40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E41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E43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44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52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E56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</commentList>
</comments>
</file>

<file path=xl/sharedStrings.xml><?xml version="1.0" encoding="utf-8"?>
<sst xmlns="http://schemas.openxmlformats.org/spreadsheetml/2006/main" count="1248" uniqueCount="688">
  <si>
    <t>Паспорт государственного областного казенного учреждения - центра социальной поддержки населения</t>
  </si>
  <si>
    <t>Государственное областное казенное учреждение "Снежногорский межрайонный центр социальной поддержки населения"</t>
  </si>
  <si>
    <t>Разделы:</t>
  </si>
  <si>
    <t>1.</t>
  </si>
  <si>
    <t>Общие сведения</t>
  </si>
  <si>
    <t>2.</t>
  </si>
  <si>
    <t xml:space="preserve">Сведения об оказании государственных услуг </t>
  </si>
  <si>
    <t>3.</t>
  </si>
  <si>
    <t xml:space="preserve">Сведения о  персонале </t>
  </si>
  <si>
    <t>4.</t>
  </si>
  <si>
    <t xml:space="preserve">Сведения о руководящих работниках </t>
  </si>
  <si>
    <t>5.</t>
  </si>
  <si>
    <t xml:space="preserve">Сведения об инфраструктуре  </t>
  </si>
  <si>
    <t>6.</t>
  </si>
  <si>
    <t xml:space="preserve">Сведения об оборудовании </t>
  </si>
  <si>
    <t>7.</t>
  </si>
  <si>
    <t>Сведения о потреблении коммунальных услуг</t>
  </si>
  <si>
    <t>8.</t>
  </si>
  <si>
    <t xml:space="preserve">Сведения о стоимости и износе материальных средств </t>
  </si>
  <si>
    <t>9.</t>
  </si>
  <si>
    <t xml:space="preserve">Сведения о расходах </t>
  </si>
  <si>
    <t>10.</t>
  </si>
  <si>
    <t>Предписания надзорных органов</t>
  </si>
  <si>
    <t>ГОКУ "Снежногорский межрайонный центр социальной поддержки населения"</t>
  </si>
  <si>
    <t>(наименование ГОКУ)</t>
  </si>
  <si>
    <t>Наименование учреждения в соответствии с Уставом</t>
  </si>
  <si>
    <t>Предмет деятельности учреждения</t>
  </si>
  <si>
    <t>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 территории в соответствии с законодательством Российской Федерации и законодательством Мурманской области</t>
  </si>
  <si>
    <t>Учредитель</t>
  </si>
  <si>
    <t>Министерство труда и  социального развития Мурманской области</t>
  </si>
  <si>
    <t>Юридический адрес учреждения</t>
  </si>
  <si>
    <t>184682, г.Снежногорск-2, ул.П.Стеблина, д.10</t>
  </si>
  <si>
    <t>Фактический адрес учреждения</t>
  </si>
  <si>
    <t>Телефон/Факс</t>
  </si>
  <si>
    <t>(81530)60-619/60-619</t>
  </si>
  <si>
    <t>E-mail</t>
  </si>
  <si>
    <t>Snegnogorsk@socmurman.ru</t>
  </si>
  <si>
    <t>Адрес интерент-страницы ГОКУ в сети Интернет</t>
  </si>
  <si>
    <t>нет</t>
  </si>
  <si>
    <t>Ф.И.О директора</t>
  </si>
  <si>
    <t>Гарагуля Ольга Николаевна</t>
  </si>
  <si>
    <t>Телефон директора</t>
  </si>
  <si>
    <t>(81530)60-615</t>
  </si>
  <si>
    <t>Ф.И.О заместителя директора</t>
  </si>
  <si>
    <t xml:space="preserve">Жирнова Лилия Николаевна </t>
  </si>
  <si>
    <t>Телефон</t>
  </si>
  <si>
    <t>(81530)609-57</t>
  </si>
  <si>
    <t>Ф.И.О главного бухгалтера</t>
  </si>
  <si>
    <t>Зубченко Оксана Викторвна</t>
  </si>
  <si>
    <t>(81530)63-630</t>
  </si>
  <si>
    <t>Год создания учреждения</t>
  </si>
  <si>
    <t>Занимаемые площади (кв.м):</t>
  </si>
  <si>
    <t>Документы, дающие право деятельности</t>
  </si>
  <si>
    <t>Устав (сведения об утверждении)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</si>
  <si>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</si>
  <si>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</si>
  <si>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</si>
  <si>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</si>
  <si>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51-АВ 282537 от 05.12.2011г. бессрочно;                               Свидетельство о государственной регистрации права 51-АВ 282538 от 05.12.2011г. бессрочно;  Свидетельство о государственной регистрации права 51-АГ 022275 от 25.01.2016г. бессрочно;       Свидетельство о государственной регистрации права 51-АГ 022276 от 26.01.2016г. бессрочно.</t>
  </si>
  <si>
    <t>Договор, подверждающий право на владение, пользование имуществом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</si>
  <si>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</si>
  <si>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Сведения о структурных подразделениях</t>
  </si>
  <si>
    <t>Количество структурных подразделений</t>
  </si>
  <si>
    <t>-</t>
  </si>
  <si>
    <t xml:space="preserve">Наименование структурных подразделений </t>
  </si>
  <si>
    <t>Адрес структурного подразделения</t>
  </si>
  <si>
    <t>Адрес в сети Интернет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</si>
  <si>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</si>
  <si>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</si>
  <si>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</si>
  <si>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Наименование проекта (программы)</t>
  </si>
  <si>
    <t>Уровень утверждения (областной, муниципальный, ведомственый, межведомственный др.)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</si>
  <si>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</si>
  <si>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</si>
  <si>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</si>
  <si>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</si>
  <si>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</si>
  <si>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</si>
  <si>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</si>
  <si>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ЗАТО Заозерск, ЗАТО Видяево, ЗАТО Александровск (г.Гаджиево, г.Полярный, г.Снежногорск)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</si>
  <si>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</si>
  <si>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</si>
  <si>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В том числе:</t>
  </si>
  <si>
    <t>мужчин *</t>
  </si>
  <si>
    <t>женщин*</t>
  </si>
  <si>
    <t>детей до 18 лет</t>
  </si>
  <si>
    <t>*- информация платная, стоимость справки 130 руб. По ЗАТО статистика направляет информацию только по закрытым каналам связи.</t>
  </si>
  <si>
    <t>Сведения об оказании государственных услуг</t>
  </si>
  <si>
    <t>Предоставлемые услуги</t>
  </si>
  <si>
    <t>Основание предоставления услуги (НПА)</t>
  </si>
  <si>
    <t>Численность получателей ( семей, человек)</t>
  </si>
  <si>
    <t>Расходы (рублей)</t>
  </si>
  <si>
    <t>Предоставление малоимущим семьям и малоимущим одиноко проживающим гражданам адресной государственной социальной помощи</t>
  </si>
  <si>
    <t xml:space="preserve">Закон Мурманской  области от 23.12.2004 № 549-01-ЗМО "О государственной социальной помощи в Мурманской области" 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</si>
  <si>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</si>
  <si>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</si>
  <si>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</si>
  <si>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Закон Мурманской  области от 23.12.2004 № 550-01-ЗМО "О мерах социальной поддержки отдельных категорий граждан"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</si>
  <si>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</si>
  <si>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</si>
  <si>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</si>
  <si>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</si>
  <si>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</si>
  <si>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</si>
  <si>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</si>
  <si>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Выплата разницы в стоимости единого социального проездного билета и суммы ЕДВ, размер которой ниже стоимости ЕСПБ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</si>
  <si>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</si>
  <si>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Предоставление ежемесячной жилищно-коммунальной выплаты отдельны категориям граждан из числа федеральных льготников, в том числе: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</si>
  <si>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</si>
  <si>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 xml:space="preserve"> - компенсации расходов на уплату взноса на капитальный ремонт отдельным категориям граждан</t>
  </si>
  <si>
    <t xml:space="preserve">Предоставление ежемесячной коммунальной выплаты многодетным семьям 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</si>
  <si>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</si>
  <si>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Ежегодная единовременная денежная выплата ветеранам труда Мурманской области</t>
  </si>
  <si>
    <t>Закон Мурманской области от 26.10.2007 № 895-01-ЗМО "О ветеранах труда Мурманской области"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</si>
  <si>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</si>
  <si>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</si>
  <si>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Возмещение расходов на оплату стоимости проезда железнодорожным транспортом в противотуберкулезный санаторий и обратно</t>
  </si>
  <si>
    <t>Закон Мурманской области от 16.06.1997 № 67-01-ЗМО "Об основах организации борьбы с туберкулезом в Мурманской области"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</si>
  <si>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</si>
  <si>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</si>
  <si>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Назначение и выплата регионального единовременного пособия при рождении (усыновлении) одновременно двух и более детей</t>
  </si>
  <si>
    <t>постановление Правительства Мурманской области от 12.01.2011 № 1-ПП "О региональных единовременных пособиях"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</si>
  <si>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</si>
  <si>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</si>
  <si>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</si>
  <si>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</si>
  <si>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Единовременная денежная выплата гражданам, родившимся в период с 23 июня 1923 года по 3 сентября 1945 года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</si>
  <si>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</si>
  <si>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Единовременная денежная выплата ветеранам в связи с празднованием Дня Победы в Великой Отечественной войне 1941-1945гг.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</si>
  <si>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</si>
  <si>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Единовременная денежная выплата в связи с празднованием разгрома немецко-фашистских войск в Заполярье</t>
  </si>
  <si>
    <t>Единовременная денежная выплата в связи с празднованием Дня защитника Отечества</t>
  </si>
  <si>
    <t xml:space="preserve">Предоставление региональной единовременной выплаты семьям, имеющим детей больных фенилкетонурией 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</si>
  <si>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</si>
  <si>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</si>
  <si>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постановление Правительства Мурманской области от 11.02.2007 № 221-ПП</t>
  </si>
  <si>
    <t>Предоставление гражданам субсидий на оплату жилых помещений и коммунальных услуг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</si>
  <si>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</si>
  <si>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</si>
  <si>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Закон Российской Федерации от 09.06.1993 № 5142-1 "О донорстве крови и ее компонентов"</t>
  </si>
  <si>
    <t>Назначение и выплата социального пособия на погребение</t>
  </si>
  <si>
    <t>Федеральный закон от 19.05.1995 № 81-ФЗ "О государственных пособиях гражданам, имеющим детей"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</si>
  <si>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</si>
  <si>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</si>
  <si>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</si>
  <si>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</si>
  <si>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Назначение и выплата ежемесячного пособия на ребенка военнослужащего, проходящего военную службу по призыву</t>
  </si>
  <si>
    <t>Назначение и выплата единовременного пособия на ребенка военнослужащего, проходящего военную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</si>
  <si>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</si>
  <si>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</si>
  <si>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Указ Президента РФ от 05.11.1992 № 1335;
письмо Министерства финансов РФ от 11.03.1993 № 23 (регистрация в Минюсте РФ)
</t>
  </si>
  <si>
    <t xml:space="preserve">Пособия гражданам, у которых возникли поствакцинальные осложнения: </t>
  </si>
  <si>
    <t>Федеральный закон от 17.09.1998 № 157-ФЗ "Об иммунопрофилактике инфекционных болезней"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</si>
  <si>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</si>
  <si>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</si>
  <si>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Пособие на проведение летнего оздоровительного отдыха детей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</si>
  <si>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</si>
  <si>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Социальная поддержка граждан подвергшихся воздействию радиации</t>
  </si>
  <si>
    <t xml:space="preserve">Закон РФ от 15.05.1991 N 1244-1 "О социальной защите граждан, подвергшихся воздействию радиации вследствие катастрофы на Чернобыльской АЭС") 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</si>
  <si>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</si>
  <si>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</si>
  <si>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Ежемесячная денежная выплата нуждающимся в поддержке семьям при рождении третьего и последующих детей до достижения ребенком возраста трех лет</t>
  </si>
  <si>
    <t>постановление Правительства Мурманской области от 01.08.2012 № 393-ПП- "О предоставлении ежемесячой денежной выплаты нуждающимся в поддержке семьям при рождении третьего и последующих детей до достижения ребенком возраста трех лет"</t>
  </si>
  <si>
    <t>Выдача сертификатов на региональный материнский (семейный) капитал для реализации дополнительных мер социаьной поддержки</t>
  </si>
  <si>
    <t>Закон Мурманской области от 19.12.2011 № 1447-01-ЗМО "О дополнительных мерах социальной поддержки семей с детьми в Мурманской области"</t>
  </si>
  <si>
    <t>Распоряжение средствами (частью средств) регионального материнского (семейного) капитала в Мурманской области</t>
  </si>
  <si>
    <t>постановление Правительства Мурманской области от 23.11.2012 № 589-ПП- "О порядке распоряжения средствами (частью средств) регионального материнского (семейного) капитала в Мурманской области</t>
  </si>
  <si>
    <t>Компенсация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помощи.</t>
  </si>
  <si>
    <t>Постановление Правительства Мурманской области от 14.08.2012 № 407-ПП "О компенсации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помощи".</t>
  </si>
  <si>
    <t xml:space="preserve">Ежемесячная выплата в связи с рождением (усыновлением) первого  ребенка </t>
  </si>
  <si>
    <t>Федеральный закон N418-ФЗ от 28.12.2017</t>
  </si>
  <si>
    <t xml:space="preserve">Ежемесячная денежная выплата при рождении первого ребенка до достижения возраста полутора лет </t>
  </si>
  <si>
    <t xml:space="preserve"> Закон Мурманской области №2216-01-ЗМО от 22.12.2017</t>
  </si>
  <si>
    <t xml:space="preserve">Назначение ежемесячной денежной выплаты   на ребенка в возрасте от 3 до 7 лет включительно </t>
  </si>
  <si>
    <t>Закон  Мурманской области от 10.04.2020 N 2475-01-ЗМО "О ежемесячной денежной выплате на ребенка в возрасте от трех до семи лет включительно"</t>
  </si>
  <si>
    <t>Чествование ветеранов ВОВ</t>
  </si>
  <si>
    <t xml:space="preserve">Постановление Правительства Мурманской области от 18.04.2013 N 197-ПП "Об организации чествования ветеранов Великой Отечественной войны в вязи с юбилейными днями рождения"
</t>
  </si>
  <si>
    <t>Выплата инвалидам компенсации по договорам страхования транспортных средств</t>
  </si>
  <si>
    <t>Постановление Правительства Мурманской области от 27.12.2006 N 533-ПП "Об утверждении Порядка выплаты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средств"</t>
  </si>
  <si>
    <t>Ежемесячная денежная выплата на оплату жилого помещения и коммунальных услуг гражданам, родившимся в период с 23.06.1923 по 03.09.1945</t>
  </si>
  <si>
    <t>Закон Мурманской области от 24.02.2016 N 1963-01-ЗМО "О компенсации расходов на уплату взноса на капитальный ремонт отдельным категориям граждан"</t>
  </si>
  <si>
    <t>Закон Мурманской области от 06.12.2019 N 2431-01-ЗМО "О детях Великой Отечественной войны в Мурманской области"</t>
  </si>
  <si>
    <t>Предоставления ежемесячной денежной выплаты на оплату жилого помещения и (или) коммунальных услуг  бывшим специалистам, работающим в сельских населенных пунктах</t>
  </si>
  <si>
    <t>Закон Мурманской области от 27.12.2004 N 561-01-ЗМО "О мерах социальной поддержки отдельных категорий граждан, работающих в сельских населенных пунктах или поселках городского типа"</t>
  </si>
  <si>
    <t>Прием документов и подготовка ходатайств для оказания материальной помощи пенсионерам, оказавшимся в трудной жизненной ситуации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</si>
  <si>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</si>
  <si>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Прием документов и подготовка ходатайств для оказания материальной помощи инвалидам, оказавшимся в трудной жизненной ситуации</t>
  </si>
  <si>
    <t>Выдача справок о  назначении государственной социальной помощи</t>
  </si>
  <si>
    <t xml:space="preserve">Приказ Министерства социального развития Мурманской области от 11.12.2018 N 571 </t>
  </si>
  <si>
    <t xml:space="preserve">Присвоение звания ветеран труда </t>
  </si>
  <si>
    <t>Приказ Минсоцразвития Мурманской области от 27.06.2016 N 463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"Присвоение звания "Ветеран труда" и выдача удостоверения ветерана труда"</t>
  </si>
  <si>
    <t>Выдача удостоверения ветеран  труда</t>
  </si>
  <si>
    <t>Присвоение звания ветеран труда  МО</t>
  </si>
  <si>
    <t>Приказ Минтрудсоцразвития Мурманской области от 27.12.2013 N 732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"Организация работы по установлению статуса ветерана труда Мурманской области"</t>
  </si>
  <si>
    <t>Выдача удостоверения ветеран  труда МО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</si>
  <si>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</si>
  <si>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 xml:space="preserve">Приказ Министерства труда и социального развития Мурманской области  от 14.10.2020 № 613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</si>
  <si>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</si>
  <si>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</si>
  <si>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</si>
  <si>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</si>
  <si>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Ежемесячная денежная компенсация, установленная частями 9, 10 и 13 статьи 3 ФЗ "О денежном довольствии военнослужащих и предоставлении им отдельных выплат"</t>
  </si>
  <si>
    <t>постановление Правительства РФ от 22.02.2012 № 142" О финансовом обеспечении и об осуществлении ежемесячной денежной компенсации, установленная частями 9, 10 и 13 статьи 3 ФЗ "О денежном довольствии военнослужащих и предоставлении им отдельных выплат"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</si>
  <si>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</si>
  <si>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</si>
  <si>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 xml:space="preserve">Сведения о персонале </t>
  </si>
  <si>
    <t>№ п/п</t>
  </si>
  <si>
    <t>Параметр</t>
  </si>
  <si>
    <t>Ед. измерения</t>
  </si>
  <si>
    <t>Данные на 01.01.2009, 01.11.2009</t>
  </si>
  <si>
    <t>Данные на 01.01.2010</t>
  </si>
  <si>
    <t>Данные на 01.01.2011</t>
  </si>
  <si>
    <t>Данные на 01.01.2012</t>
  </si>
  <si>
    <t>Данные на 01.01.2013</t>
  </si>
  <si>
    <t>Данные на 01.01.2014</t>
  </si>
  <si>
    <t>Данные на 01.07.2014</t>
  </si>
  <si>
    <t>Данные на 01.01.2015</t>
  </si>
  <si>
    <t>данные на 01.07.2015</t>
  </si>
  <si>
    <t>Данные на 01.01.2016</t>
  </si>
  <si>
    <t>данные на 01.07.2016</t>
  </si>
  <si>
    <t>данные на 01.01.2017</t>
  </si>
  <si>
    <t>данные на 01.07.2017</t>
  </si>
  <si>
    <t>данные на 01.01.2018</t>
  </si>
  <si>
    <t>данные на 01.07.2018</t>
  </si>
  <si>
    <t>данные на 01.01.2019</t>
  </si>
  <si>
    <t>данные на 01.07.2019</t>
  </si>
  <si>
    <t>данные на 01.01.2020</t>
  </si>
  <si>
    <t>данные на 01.07.2020</t>
  </si>
  <si>
    <t>данные на 01.01.2021</t>
  </si>
  <si>
    <t>данные на 01.07.2021</t>
  </si>
  <si>
    <t>данные на 01.01.2022</t>
  </si>
  <si>
    <t>Физические лица</t>
  </si>
  <si>
    <t>чел.</t>
  </si>
  <si>
    <t>руководящие работники, в т.ч.</t>
  </si>
  <si>
    <t>директор</t>
  </si>
  <si>
    <t xml:space="preserve">заместители директора </t>
  </si>
  <si>
    <t>главный бухгалтер</t>
  </si>
  <si>
    <t>руководители структурных подразделений</t>
  </si>
  <si>
    <t>специалисты</t>
  </si>
  <si>
    <t>администратор баз данных</t>
  </si>
  <si>
    <t>юрисконсульт</t>
  </si>
  <si>
    <t>обслуживающий персонал</t>
  </si>
  <si>
    <t>Штатное расписание</t>
  </si>
  <si>
    <t>Всего, из них</t>
  </si>
  <si>
    <t>ставка</t>
  </si>
  <si>
    <t>руководители структурных подрзделений</t>
  </si>
  <si>
    <t>Количество работающих пенсионеров</t>
  </si>
  <si>
    <t>Образовательный уровень</t>
  </si>
  <si>
    <t>имеют высшее образование</t>
  </si>
  <si>
    <t>имеют среднее специальное образование</t>
  </si>
  <si>
    <t>обучаются в ВУЗах, в том числе:</t>
  </si>
  <si>
    <t>получают первое высшее образование</t>
  </si>
  <si>
    <t>получают второе высшее образование</t>
  </si>
  <si>
    <t>получают  третье и последующее высшее образование</t>
  </si>
  <si>
    <t>Стаж работы</t>
  </si>
  <si>
    <t xml:space="preserve"> </t>
  </si>
  <si>
    <t>до 5 лет</t>
  </si>
  <si>
    <t>от 5 до 10 лет</t>
  </si>
  <si>
    <t>от 10 до 20 лет</t>
  </si>
  <si>
    <t>более 20 лет</t>
  </si>
  <si>
    <t>Показатель на отчетную дату</t>
  </si>
  <si>
    <t xml:space="preserve">Руководитель </t>
  </si>
  <si>
    <t>Дата назначения на должность</t>
  </si>
  <si>
    <t>06.11.2009 г.</t>
  </si>
  <si>
    <t>Тип назначения (конкурс, назначение)</t>
  </si>
  <si>
    <t>назначение</t>
  </si>
  <si>
    <t>Сроки последнего контракта</t>
  </si>
  <si>
    <t>на неопределенный срок</t>
  </si>
  <si>
    <t>Наличие совмещения должностей</t>
  </si>
  <si>
    <t>4.1.</t>
  </si>
  <si>
    <t>Наименование совмещаемой должности</t>
  </si>
  <si>
    <t>Сведения о поощрениях, награждениях (за период с начала года)</t>
  </si>
  <si>
    <t>Сведения о взысканиях (за период с начала года, а также не снятых взысканиях на отчетную дату)</t>
  </si>
  <si>
    <t>Заместитель руководителя*</t>
  </si>
  <si>
    <t>01.03.2013 г.</t>
  </si>
  <si>
    <t xml:space="preserve">не определенный срок </t>
  </si>
  <si>
    <t>Наличие категории</t>
  </si>
  <si>
    <t>11.</t>
  </si>
  <si>
    <t>Дата присвоения</t>
  </si>
  <si>
    <t>12.</t>
  </si>
  <si>
    <t>Срок действия</t>
  </si>
  <si>
    <t xml:space="preserve">Сведения об инфраструктуре </t>
  </si>
  <si>
    <t>Ед.измерения</t>
  </si>
  <si>
    <t xml:space="preserve">Показатель на отчетную дату </t>
  </si>
  <si>
    <t>Здание</t>
  </si>
  <si>
    <t>Количество зданий</t>
  </si>
  <si>
    <t>ед.</t>
  </si>
  <si>
    <t>Площадь зданий</t>
  </si>
  <si>
    <t>м.кв.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</si>
  <si>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</si>
  <si>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</si>
  <si>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</si>
  <si>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</si>
  <si>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</si>
  <si>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Год постройки</t>
  </si>
  <si>
    <t>Этажность</t>
  </si>
  <si>
    <t>этаж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</si>
  <si>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</si>
  <si>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</si>
  <si>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</si>
  <si>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центральное</t>
  </si>
  <si>
    <t>от собственной котельной</t>
  </si>
  <si>
    <t>печное</t>
  </si>
  <si>
    <t>Количество зданий, имеющих централизованное горячее водоснабжение</t>
  </si>
  <si>
    <t>Количество зданий, имеющих электроснабжение</t>
  </si>
  <si>
    <t>Количество зданий снабженных теплосчетчиками</t>
  </si>
  <si>
    <t>Количество теплосчетчиков</t>
  </si>
  <si>
    <t>Количество зданий снабженных водосчетчиками</t>
  </si>
  <si>
    <t>Количество водосчетчиков</t>
  </si>
  <si>
    <t>Количество зданий, оборудованных АПС</t>
  </si>
  <si>
    <t>из них количество зданий, оборудованных неисправной АПС</t>
  </si>
  <si>
    <t>Количество АПС, выведенных на пульт подразделения пожарной охраны</t>
  </si>
  <si>
    <t>Количество зданий, оборудованных системой оповещения и управления эвакуацией людей при пожаре в здании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</si>
  <si>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</si>
  <si>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</si>
  <si>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 xml:space="preserve">из них количество зданий, оборудованных неисправным противопожарным водоснабжение здания 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</si>
  <si>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</si>
  <si>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</si>
  <si>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>Количество зданий, состояние эвакуационных путей и выходов которых соответствуют требованиям пожарной безопасности</t>
  </si>
  <si>
    <t>Количество зданий, состояние эвакуационных путей и выходов которых не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</si>
  <si>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</si>
  <si>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1 - имееются,                                    2 - отсутствуют,                                               3 - обеспечены в полном объеме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</si>
  <si>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</si>
  <si>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</si>
  <si>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</si>
  <si>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>Количество зданий, оборудованных внешней системой видеонаблюдения</t>
  </si>
  <si>
    <t>из них количество зданий, оборудованных неисправной внешней системой видеонаблюдения</t>
  </si>
  <si>
    <t>Количество зданий, оборудованных внутренней системой видеонаблюдения</t>
  </si>
  <si>
    <t>из них количество зданий, оборудованных неисправной внутренней системой видеонаблюдения</t>
  </si>
  <si>
    <t>Количество огнетушителей</t>
  </si>
  <si>
    <t>Количество зданий, оборудованных охранной сигнализацией</t>
  </si>
  <si>
    <t>из них количество зданий, оборудованных неисправной охранной сигнализацией</t>
  </si>
  <si>
    <t>Количество зданий, оборудованных КТС</t>
  </si>
  <si>
    <t>из них количество зданий, оборудованных неисправной КТС</t>
  </si>
  <si>
    <t>Наличие охраны:</t>
  </si>
  <si>
    <t>физическая охрана (сторож, вахта)</t>
  </si>
  <si>
    <t>да/нет</t>
  </si>
  <si>
    <t>вневедомственная охрана</t>
  </si>
  <si>
    <t>ЧОП</t>
  </si>
  <si>
    <t>Количество сторожей при наличии физической охраны</t>
  </si>
  <si>
    <t>штат.ед.</t>
  </si>
  <si>
    <t xml:space="preserve">Наличие прямой телефонной связи с </t>
  </si>
  <si>
    <t>МВД</t>
  </si>
  <si>
    <t>находящихся в исправном состоянии</t>
  </si>
  <si>
    <t>признанных ветхими</t>
  </si>
  <si>
    <t>нуждается в реконструкции</t>
  </si>
  <si>
    <t>находится в аварийном состоянии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</si>
  <si>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</si>
  <si>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</si>
  <si>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имеющих металлические входные двери в здание</t>
  </si>
  <si>
    <t>Помещения*</t>
  </si>
  <si>
    <t xml:space="preserve">Количество комнат (кабинетов) </t>
  </si>
  <si>
    <t>Их площадь</t>
  </si>
  <si>
    <t>Количество комнат отдыха</t>
  </si>
  <si>
    <t xml:space="preserve">Наличие актового зала </t>
  </si>
  <si>
    <t>Его площадь</t>
  </si>
  <si>
    <t xml:space="preserve">Наличие комнаты дежурного </t>
  </si>
  <si>
    <t>Ее площадь</t>
  </si>
  <si>
    <t>Количество кабинетов управленческого персонала</t>
  </si>
  <si>
    <t>Вспомогательные помещения</t>
  </si>
  <si>
    <t>Гаражи</t>
  </si>
  <si>
    <t>Мастерские</t>
  </si>
  <si>
    <t xml:space="preserve">Другие помещения </t>
  </si>
  <si>
    <t>Земельные участки</t>
  </si>
  <si>
    <t>Количество земельных участков</t>
  </si>
  <si>
    <t>Договор безвоздмезного временного пользования недвижимым муниципальным имуществом № 307 от 01.11.2009г. (Общая площадь 24,6)</t>
  </si>
  <si>
    <t>Сведения об оборудовании</t>
  </si>
  <si>
    <t>Компьютеры</t>
  </si>
  <si>
    <t>Количество ПК</t>
  </si>
  <si>
    <t>шт.</t>
  </si>
  <si>
    <t>Количество ноутбуков</t>
  </si>
  <si>
    <t>Количество серверов</t>
  </si>
  <si>
    <t>Наличие единой локальной сети</t>
  </si>
  <si>
    <t>1-да, 2-нет</t>
  </si>
  <si>
    <t>Количество ПК в сети</t>
  </si>
  <si>
    <t>Наличие подключения к сети Интернет</t>
  </si>
  <si>
    <t>Тип подключения к сети Интернет (наземный, спутниковый)</t>
  </si>
  <si>
    <t>1-наземный,       2-спутниковый</t>
  </si>
  <si>
    <t>Скорость доступа к сети Интернет</t>
  </si>
  <si>
    <t>Мбит/с</t>
  </si>
  <si>
    <t>Количество ПК, имеющих выход в Интернет</t>
  </si>
  <si>
    <t>Автотранспорт</t>
  </si>
  <si>
    <t xml:space="preserve">Количество а/м </t>
  </si>
  <si>
    <t>В них пассажирских мест</t>
  </si>
  <si>
    <t>Количество а/м для хоз.нужд</t>
  </si>
  <si>
    <t>Иная техника</t>
  </si>
  <si>
    <t>Другая техника*</t>
  </si>
  <si>
    <t>* заполняется при наличии</t>
  </si>
  <si>
    <t>Ед. изм.</t>
  </si>
  <si>
    <t>фактически в 2009</t>
  </si>
  <si>
    <t>фактически в 2010</t>
  </si>
  <si>
    <t>фактически в 2011</t>
  </si>
  <si>
    <t>фактически в 2012</t>
  </si>
  <si>
    <t>план на 2013</t>
  </si>
  <si>
    <t>фактически в 2013</t>
  </si>
  <si>
    <t>план на 2014</t>
  </si>
  <si>
    <t>Фактически 2014 год</t>
  </si>
  <si>
    <t>план на 2015</t>
  </si>
  <si>
    <t>Фактически 2015 год</t>
  </si>
  <si>
    <t>план на 2016</t>
  </si>
  <si>
    <t>Фактически 2016 год</t>
  </si>
  <si>
    <t>план на 2017</t>
  </si>
  <si>
    <t>Фактически 2017 год</t>
  </si>
  <si>
    <t>план на 2018</t>
  </si>
  <si>
    <t>Фактически 2018 год</t>
  </si>
  <si>
    <t>план на 2019</t>
  </si>
  <si>
    <t>Фактически 2019 год</t>
  </si>
  <si>
    <t>план на 2020</t>
  </si>
  <si>
    <t>Фактически 2020 год</t>
  </si>
  <si>
    <t>Объемы потребления</t>
  </si>
  <si>
    <t>Холодная вода</t>
  </si>
  <si>
    <t>м.куб.</t>
  </si>
  <si>
    <t>Холодное водоотведение</t>
  </si>
  <si>
    <t>Горячая вода</t>
  </si>
  <si>
    <t>Гкал</t>
  </si>
  <si>
    <t>Отопление</t>
  </si>
  <si>
    <t>Электроэнергия</t>
  </si>
  <si>
    <t>Квт/час</t>
  </si>
  <si>
    <t>Тарифы</t>
  </si>
  <si>
    <t>руб.</t>
  </si>
  <si>
    <t xml:space="preserve">Сведения о стоимости и износе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</si>
  <si>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</si>
  <si>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</si>
  <si>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</si>
  <si>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</si>
  <si>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</si>
  <si>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</si>
  <si>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</si>
  <si>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 2017 год</t>
  </si>
  <si>
    <t>2018 год</t>
  </si>
  <si>
    <t>2019 год</t>
  </si>
  <si>
    <t>2020 год</t>
  </si>
  <si>
    <t>Балансовая стоимость зданий*</t>
  </si>
  <si>
    <t>тыс.руб.</t>
  </si>
  <si>
    <t>Фактический физический износ</t>
  </si>
  <si>
    <t>%</t>
  </si>
  <si>
    <t>Оценочная стоимость</t>
  </si>
  <si>
    <t>Техническое состояние зданий</t>
  </si>
  <si>
    <t>4.2.</t>
  </si>
  <si>
    <t>требует реконструкии</t>
  </si>
  <si>
    <t>4.3.</t>
  </si>
  <si>
    <t>требует капитального ремонта</t>
  </si>
  <si>
    <t>Балансовая стоимость основных средств</t>
  </si>
  <si>
    <t>Износ (амортизация) основных средств:</t>
  </si>
  <si>
    <t>6.1.</t>
  </si>
  <si>
    <t>оборудования</t>
  </si>
  <si>
    <t>6.2.</t>
  </si>
  <si>
    <t>мебели</t>
  </si>
  <si>
    <t>6.3.</t>
  </si>
  <si>
    <t>спальной мебели</t>
  </si>
  <si>
    <t>6.4.</t>
  </si>
  <si>
    <t>компьютерной техники и оргтехники</t>
  </si>
  <si>
    <t>6.5.</t>
  </si>
  <si>
    <t>6.6.</t>
  </si>
  <si>
    <t>технологического оборудования</t>
  </si>
  <si>
    <t>6.7.</t>
  </si>
  <si>
    <t>автотранспорта</t>
  </si>
  <si>
    <t>Остаточная стоимость основных средств</t>
  </si>
  <si>
    <t>*</t>
  </si>
  <si>
    <t>Читать вместо "зданий" помещений</t>
  </si>
  <si>
    <t>Износ в таблице указан накопленный.</t>
  </si>
  <si>
    <t>(название ГОКУ)</t>
  </si>
  <si>
    <t>Наименование расходов</t>
  </si>
  <si>
    <t>ЭКР</t>
  </si>
  <si>
    <t>Код строки</t>
  </si>
  <si>
    <t>БР 2010, тыс. руб.</t>
  </si>
  <si>
    <t>Касса 2010, тыс.руб.</t>
  </si>
  <si>
    <t>% испол-нения БР 2010</t>
  </si>
  <si>
    <t>БР 2011, тыс. руб.</t>
  </si>
  <si>
    <t>Касса 2011, тыс.руб.</t>
  </si>
  <si>
    <t>% испол-нения БР 2011</t>
  </si>
  <si>
    <t>БР 2012, тыс. руб.</t>
  </si>
  <si>
    <t>Касса 2012, тыс.руб.</t>
  </si>
  <si>
    <t>% испол-нения БР 2012</t>
  </si>
  <si>
    <t>БР 2013, тыс. руб.</t>
  </si>
  <si>
    <t>Касса 2013, тыс.руб.</t>
  </si>
  <si>
    <t>% испол-нения БР 2013</t>
  </si>
  <si>
    <t>БР 2014, тыс. руб.</t>
  </si>
  <si>
    <t>Касса 2014, тыс.руб.</t>
  </si>
  <si>
    <t>% испол-нения БР 2014</t>
  </si>
  <si>
    <t>БР 2015, тыс. руб.</t>
  </si>
  <si>
    <t>Касса на 2015, тыс.руб.</t>
  </si>
  <si>
    <t>% испол-нения БР 2015</t>
  </si>
  <si>
    <t>БР 2016, тыс. руб.</t>
  </si>
  <si>
    <t>Касса  2016, тыс.руб.</t>
  </si>
  <si>
    <t>% испол-нения БР на 01.01.2017</t>
  </si>
  <si>
    <t>БР 2017, тыс. руб.</t>
  </si>
  <si>
    <t>Касса на 2017, тыс.руб.</t>
  </si>
  <si>
    <t>% испол-нения БР 2017</t>
  </si>
  <si>
    <t>БР 2018, тыс. руб.</t>
  </si>
  <si>
    <t>Касса 2018, тыс.руб.</t>
  </si>
  <si>
    <t>% испол-нения БР 2018</t>
  </si>
  <si>
    <t>БР 2019, тыс. руб.</t>
  </si>
  <si>
    <t>Касса 01.07.2019, тыс.руб.</t>
  </si>
  <si>
    <t>% испол-нения БР 01.07.2019</t>
  </si>
  <si>
    <t>Касса 01.01.2020, тыс.руб.</t>
  </si>
  <si>
    <t>% исполнения БР 01.01.2020</t>
  </si>
  <si>
    <t>БР 2020, тыс. руб.</t>
  </si>
  <si>
    <t>Касса 01.01.2021, тыс.руб.</t>
  </si>
  <si>
    <t>% исполнения БР 01.01.2021</t>
  </si>
  <si>
    <t>Расходы</t>
  </si>
  <si>
    <t>20000</t>
  </si>
  <si>
    <t>1.1.</t>
  </si>
  <si>
    <t>Оплата труда и начисления на оплату труда</t>
  </si>
  <si>
    <t>1.1.1.</t>
  </si>
  <si>
    <t xml:space="preserve"> Заработная плата, в том числе:  </t>
  </si>
  <si>
    <t>1.1.1.1.</t>
  </si>
  <si>
    <t>выплаты по заработной плате, оплата отпусков, другие выплаты</t>
  </si>
  <si>
    <t>211.01</t>
  </si>
  <si>
    <t>1.1.2.</t>
  </si>
  <si>
    <t xml:space="preserve"> Прочие выплаты, в том числе:  </t>
  </si>
  <si>
    <t>1.1.2.1.</t>
  </si>
  <si>
    <t>командировочные расходы</t>
  </si>
  <si>
    <t>212.01</t>
  </si>
  <si>
    <t>1.1.2.2.</t>
  </si>
  <si>
    <t>Социальные пособия и компенсации персоналу в денежной форме</t>
  </si>
  <si>
    <t>212.02</t>
  </si>
  <si>
    <t>1.1.2.3.</t>
  </si>
  <si>
    <t xml:space="preserve"> другие выплаты по прочим выплатам</t>
  </si>
  <si>
    <t>212.99</t>
  </si>
  <si>
    <t>1.1.3.</t>
  </si>
  <si>
    <t xml:space="preserve"> Начисления на оплату труда</t>
  </si>
  <si>
    <t>Другие выплаты по прочим выплатам</t>
  </si>
  <si>
    <t>1.2.</t>
  </si>
  <si>
    <t>Приобретение услуг</t>
  </si>
  <si>
    <t>1.2.1.</t>
  </si>
  <si>
    <t xml:space="preserve"> Услуги связи, в том числе:       </t>
  </si>
  <si>
    <t>1.2.2.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</si>
  <si>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</si>
  <si>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</si>
  <si>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</si>
  <si>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</si>
  <si>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</si>
  <si>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>222.99</t>
  </si>
  <si>
    <t>1.2.3.</t>
  </si>
  <si>
    <t xml:space="preserve"> Коммунальные услуги</t>
  </si>
  <si>
    <t>1.2.4.</t>
  </si>
  <si>
    <t xml:space="preserve"> Арендная плата за пользование имуществом</t>
  </si>
  <si>
    <t>1.2.5.</t>
  </si>
  <si>
    <t xml:space="preserve"> Услуги по содержанию имущества, в том числе:</t>
  </si>
  <si>
    <t>1.2.5.1.</t>
  </si>
  <si>
    <t xml:space="preserve"> содержание в чистоте  помещений, зданий, дворов, иного имущества</t>
  </si>
  <si>
    <t>225.01</t>
  </si>
  <si>
    <t>1.2.5.2.</t>
  </si>
  <si>
    <t xml:space="preserve"> ремонт (текущий и капитальный) и реставрация нефинансовых активов, за исключением недвижимого имущества</t>
  </si>
  <si>
    <t>225.02</t>
  </si>
  <si>
    <t>1.2.5.3.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</si>
  <si>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</si>
  <si>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225.03</t>
  </si>
  <si>
    <t>1.2.5.4.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</si>
  <si>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</si>
  <si>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225.04</t>
  </si>
  <si>
    <t>1.2.5.5.</t>
  </si>
  <si>
    <t xml:space="preserve"> ремонт (текущий и капитальный) и реставрация нефинансовых активов в части недвижимого имущества</t>
  </si>
  <si>
    <t>225.05</t>
  </si>
  <si>
    <t>1.2.5.6.</t>
  </si>
  <si>
    <t>другие расходы по содержанию имущества</t>
  </si>
  <si>
    <t>225.99</t>
  </si>
  <si>
    <t>1.2.6.</t>
  </si>
  <si>
    <t xml:space="preserve"> Прочие услуги, в том числе:</t>
  </si>
  <si>
    <t>1.2.6.1.</t>
  </si>
  <si>
    <t>монтаж и установка локальных вычислительных сетей</t>
  </si>
  <si>
    <t>226.01</t>
  </si>
  <si>
    <t>1.2.6.2.</t>
  </si>
  <si>
    <t>организация питания</t>
  </si>
  <si>
    <t>226.02</t>
  </si>
  <si>
    <t>1.2.6.3.</t>
  </si>
  <si>
    <t>226.03</t>
  </si>
  <si>
    <t>1.2.6.4.</t>
  </si>
  <si>
    <t>226.04</t>
  </si>
  <si>
    <t>1.2.6.5.</t>
  </si>
  <si>
    <t>услуги в области информационных технологий</t>
  </si>
  <si>
    <t>226.05</t>
  </si>
  <si>
    <t>1.2.6.6.</t>
  </si>
  <si>
    <t>монтаж и установка систем охранной и пожарной сигнализации, видеонаблюдения</t>
  </si>
  <si>
    <t>226.06</t>
  </si>
  <si>
    <t>1.2.6.7.</t>
  </si>
  <si>
    <t>другие расходы по прочим работам, услугам</t>
  </si>
  <si>
    <t>226.99</t>
  </si>
  <si>
    <t>Страхование</t>
  </si>
  <si>
    <t>Услуги по установке узла учета электроэнергии</t>
  </si>
  <si>
    <t>1.3.</t>
  </si>
  <si>
    <t xml:space="preserve"> Социальное обеспечение, в том числе:</t>
  </si>
  <si>
    <t>1.3.1.</t>
  </si>
  <si>
    <t>Пенсии, пособия и выплаты по пенсионному,  социальному  и  медицинскому страхованию населения</t>
  </si>
  <si>
    <t>1.3.2.</t>
  </si>
  <si>
    <t xml:space="preserve"> Пособия по социальной помощи населению</t>
  </si>
  <si>
    <t>1.3.3.</t>
  </si>
  <si>
    <t>Пенсии,  пособия,  выплачиваемые  организациями   сектора  государственного управления</t>
  </si>
  <si>
    <t>26300</t>
  </si>
  <si>
    <t>Пособия и компенсации персоналу в денежной форме</t>
  </si>
  <si>
    <t>1.4.</t>
  </si>
  <si>
    <t xml:space="preserve"> Прочие расходы, в том числе:</t>
  </si>
  <si>
    <t>1.4.1.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</si>
  <si>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</si>
  <si>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</si>
  <si>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1.4.2.</t>
  </si>
  <si>
    <t>выплата стипендий</t>
  </si>
  <si>
    <t>290.02</t>
  </si>
  <si>
    <t>1.4.3.</t>
  </si>
  <si>
    <t>представительские расходы, прием и обслуживание делегаций, приобретение  (изготовление) подарочной и сувенирной продукции, не предназначенной для дальнейшей перепродажи</t>
  </si>
  <si>
    <t>290.03</t>
  </si>
  <si>
    <t>1.4.4.</t>
  </si>
  <si>
    <t>иные расходы</t>
  </si>
  <si>
    <t>290.99</t>
  </si>
  <si>
    <t xml:space="preserve"> Поступление нефинансовых активов </t>
  </si>
  <si>
    <t>2.1.</t>
  </si>
  <si>
    <t xml:space="preserve"> Увеличение стоимости основных средств, в том числе: </t>
  </si>
  <si>
    <t>2.1.1.</t>
  </si>
  <si>
    <t>автотранспорт, реконструкция, дооборудование, модернизация</t>
  </si>
  <si>
    <t>310.01</t>
  </si>
  <si>
    <t>2.1.2.</t>
  </si>
  <si>
    <t>охранно-пожарная сигнализация</t>
  </si>
  <si>
    <t>310.02</t>
  </si>
  <si>
    <t>2.1.3.</t>
  </si>
  <si>
    <t>комплектация книжных фондов библиотек</t>
  </si>
  <si>
    <t>310.03</t>
  </si>
  <si>
    <t>2.1.4.</t>
  </si>
  <si>
    <t>компьютерная техника, оргтехника</t>
  </si>
  <si>
    <t>310.04</t>
  </si>
  <si>
    <t>2.1.5.</t>
  </si>
  <si>
    <t>бытовая техника, мебель</t>
  </si>
  <si>
    <t>310.05</t>
  </si>
  <si>
    <t>2.1.6.</t>
  </si>
  <si>
    <t xml:space="preserve"> другие расходы на увеличение стоимости основных средств                    </t>
  </si>
  <si>
    <t>310.99</t>
  </si>
  <si>
    <t>2.2.</t>
  </si>
  <si>
    <t>Увеличение стоимости нематериальных активов</t>
  </si>
  <si>
    <t>32000</t>
  </si>
  <si>
    <t>2.3.</t>
  </si>
  <si>
    <t xml:space="preserve"> Увеличение стоимости материальных запасов, в том числе:</t>
  </si>
  <si>
    <t>2.3.1.</t>
  </si>
  <si>
    <t>медикаменты и перевязочные средства</t>
  </si>
  <si>
    <t>340.01</t>
  </si>
  <si>
    <t>2.3.2.</t>
  </si>
  <si>
    <t>продукты питания</t>
  </si>
  <si>
    <t>340.02</t>
  </si>
  <si>
    <t>2.3.3.</t>
  </si>
  <si>
    <t>горюче-смазочные материалы</t>
  </si>
  <si>
    <t>340.03</t>
  </si>
  <si>
    <t>2.3.4.</t>
  </si>
  <si>
    <t>мягкий инвентарь</t>
  </si>
  <si>
    <t>340.04</t>
  </si>
  <si>
    <t>2.3.5.</t>
  </si>
  <si>
    <t>другие расходы на увеличение стоимости материальных запасов</t>
  </si>
  <si>
    <t>340.99</t>
  </si>
  <si>
    <t xml:space="preserve">ИТОГО РАСХОДЫ ПО ГОКУ </t>
  </si>
  <si>
    <t>Информация о предписаниях  надзорных органов и проведенных  мероприятиях по их устранению в 2013 году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</si>
  <si>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</si>
  <si>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</si>
  <si>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</si>
  <si>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</si>
  <si>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</si>
  <si>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</si>
  <si>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</si>
  <si>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ЦС</t>
  </si>
  <si>
    <t>ВР</t>
  </si>
  <si>
    <t>КОСГУ</t>
  </si>
  <si>
    <t>Код цели</t>
  </si>
  <si>
    <t>ФГКУ "Специальное управление ФПС №48 МЧС России"</t>
  </si>
  <si>
    <t>05.12.2012г. №322/1/21</t>
  </si>
  <si>
    <t>Отсутствует противопожарная преграда, отделяющая помещения Центра от жилой части здания</t>
  </si>
  <si>
    <t>до 01.07.2013</t>
  </si>
  <si>
    <t>224</t>
  </si>
  <si>
    <t>225</t>
  </si>
  <si>
    <t>Исполнено в полном объеме</t>
  </si>
  <si>
    <t>В помещениях Центра не установленна система автоматического обнаружения пожара</t>
  </si>
  <si>
    <t>6222800</t>
  </si>
  <si>
    <t>244</t>
  </si>
  <si>
    <t>226</t>
  </si>
  <si>
    <t>Информация о предписаниях  надзорных органов и проведенных  мероприятиях по их устранению в 2014,2015,2016,2017 году</t>
  </si>
  <si>
    <t>план на 2021</t>
  </si>
  <si>
    <t>Фактически 2021 год</t>
  </si>
  <si>
    <t>БР 2021, тыс. руб.</t>
  </si>
  <si>
    <t>Касса 01.01.2022, тыс.руб.</t>
  </si>
  <si>
    <t>% исполнения БР 01.01.2022</t>
  </si>
  <si>
    <t>2021 год</t>
  </si>
  <si>
    <t>данные на 01.07.2022</t>
  </si>
  <si>
    <t>на 01.07.2022</t>
  </si>
  <si>
    <t xml:space="preserve">Оказание государственной социальной помощи на основании социального контракта отдельным категориям граждан </t>
  </si>
  <si>
    <t>На 01 июля 2022 года</t>
  </si>
  <si>
    <t>Договор безвоздмезного временного пользования недвижимым муниципальным имуществом № 1 от 08.12.2017г. (Общая площадь 23,3)</t>
  </si>
  <si>
    <t>Договор безвоздмезного временного пользования недвижимым муниципальным имуществом № 17 от 06.12.2010г. (Общая площадь 17,3)</t>
  </si>
  <si>
    <t>план на 2022</t>
  </si>
  <si>
    <t>Фактически на 01.07.2022 год</t>
  </si>
  <si>
    <t>БР 2022, тыс. руб.</t>
  </si>
  <si>
    <t>Касса 01.07.2022, тыс.руб.</t>
  </si>
  <si>
    <t>% исполнения БР 01.07.2022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</si>
</sst>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0"/>
    <numFmt numFmtId="174" formatCode="#,##0.0"/>
    <numFmt numFmtId="175" formatCode="#,##0.00_ ;\-#,##0.00\ "/>
    <numFmt numFmtId="176" formatCode="[$-FC19]d\ mmmm\ yyyy\ &quot;г.&quot;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7.5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color indexed="20"/>
      <name val="Times New Roman"/>
      <family val="1"/>
    </font>
    <font>
      <b/>
      <sz val="10"/>
      <color indexed="20"/>
      <name val="Arial Cyr"/>
      <family val="2"/>
    </font>
    <font>
      <sz val="6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68" fillId="3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16" fontId="11" fillId="35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0" fontId="9" fillId="0" borderId="11" xfId="42" applyNumberFormat="1" applyFont="1" applyFill="1" applyBorder="1" applyAlignment="1" applyProtection="1">
      <alignment horizontal="center" vertical="top" wrapText="1"/>
      <protection/>
    </xf>
    <xf numFmtId="0" fontId="13" fillId="0" borderId="11" xfId="42" applyNumberFormat="1" applyFont="1" applyFill="1" applyBorder="1" applyAlignment="1" applyProtection="1">
      <alignment horizontal="center" vertical="top" wrapText="1"/>
      <protection/>
    </xf>
    <xf numFmtId="1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6" fontId="6" fillId="35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73" fontId="11" fillId="0" borderId="11" xfId="0" applyNumberFormat="1" applyFont="1" applyFill="1" applyBorder="1" applyAlignment="1" applyProtection="1">
      <alignment horizontal="left"/>
      <protection locked="0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/>
      <protection locked="0"/>
    </xf>
    <xf numFmtId="14" fontId="6" fillId="0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wrapText="1"/>
      <protection locked="0"/>
    </xf>
    <xf numFmtId="16" fontId="1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14" fontId="6" fillId="35" borderId="1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72" fontId="11" fillId="0" borderId="11" xfId="64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right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36" borderId="12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/>
    </xf>
    <xf numFmtId="0" fontId="12" fillId="0" borderId="11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36" borderId="15" xfId="0" applyFont="1" applyFill="1" applyBorder="1" applyAlignment="1">
      <alignment vertical="center" wrapText="1"/>
    </xf>
    <xf numFmtId="0" fontId="11" fillId="36" borderId="0" xfId="0" applyFont="1" applyFill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vertical="center" wrapText="1"/>
    </xf>
    <xf numFmtId="0" fontId="20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12" fillId="36" borderId="15" xfId="0" applyFont="1" applyFill="1" applyBorder="1" applyAlignment="1">
      <alignment vertical="top" wrapText="1"/>
    </xf>
    <xf numFmtId="0" fontId="12" fillId="36" borderId="14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top" wrapText="1"/>
    </xf>
    <xf numFmtId="0" fontId="12" fillId="36" borderId="11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justify" wrapText="1"/>
    </xf>
    <xf numFmtId="0" fontId="12" fillId="37" borderId="11" xfId="0" applyFont="1" applyFill="1" applyBorder="1" applyAlignment="1">
      <alignment vertical="center" wrapText="1"/>
    </xf>
    <xf numFmtId="0" fontId="12" fillId="37" borderId="15" xfId="0" applyFont="1" applyFill="1" applyBorder="1" applyAlignment="1">
      <alignment vertical="center" wrapText="1"/>
    </xf>
    <xf numFmtId="0" fontId="11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17" fillId="0" borderId="11" xfId="0" applyNumberFormat="1" applyFont="1" applyFill="1" applyBorder="1" applyAlignment="1">
      <alignment horizontal="left" vertical="center" wrapText="1"/>
    </xf>
    <xf numFmtId="14" fontId="17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0" fontId="22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16" fontId="11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16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inden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36" borderId="16" xfId="0" applyNumberFormat="1" applyFont="1" applyFill="1" applyBorder="1" applyAlignment="1">
      <alignment horizontal="right"/>
    </xf>
    <xf numFmtId="0" fontId="11" fillId="0" borderId="12" xfId="0" applyFont="1" applyFill="1" applyBorder="1" applyAlignment="1" applyProtection="1">
      <alignment horizontal="right"/>
      <protection locked="0"/>
    </xf>
    <xf numFmtId="4" fontId="11" fillId="36" borderId="11" xfId="0" applyNumberFormat="1" applyFont="1" applyFill="1" applyBorder="1" applyAlignment="1">
      <alignment horizontal="right"/>
    </xf>
    <xf numFmtId="4" fontId="11" fillId="36" borderId="11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 applyProtection="1">
      <alignment horizontal="right"/>
      <protection locked="0"/>
    </xf>
    <xf numFmtId="174" fontId="11" fillId="0" borderId="12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>
      <alignment horizontal="right"/>
    </xf>
    <xf numFmtId="174" fontId="11" fillId="0" borderId="12" xfId="0" applyNumberFormat="1" applyFont="1" applyFill="1" applyBorder="1" applyAlignment="1">
      <alignment horizontal="right"/>
    </xf>
    <xf numFmtId="174" fontId="11" fillId="36" borderId="11" xfId="0" applyNumberFormat="1" applyFont="1" applyFill="1" applyBorder="1" applyAlignment="1">
      <alignment horizontal="right"/>
    </xf>
    <xf numFmtId="175" fontId="11" fillId="0" borderId="11" xfId="66" applyNumberFormat="1" applyFont="1" applyFill="1" applyBorder="1" applyAlignment="1" applyProtection="1">
      <alignment horizontal="right"/>
      <protection locked="0"/>
    </xf>
    <xf numFmtId="175" fontId="11" fillId="0" borderId="12" xfId="66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2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wrapText="1"/>
    </xf>
    <xf numFmtId="4" fontId="6" fillId="38" borderId="11" xfId="0" applyNumberFormat="1" applyFont="1" applyFill="1" applyBorder="1" applyAlignment="1">
      <alignment/>
    </xf>
    <xf numFmtId="10" fontId="6" fillId="38" borderId="11" xfId="0" applyNumberFormat="1" applyFont="1" applyFill="1" applyBorder="1" applyAlignment="1">
      <alignment/>
    </xf>
    <xf numFmtId="10" fontId="6" fillId="38" borderId="12" xfId="0" applyNumberFormat="1" applyFont="1" applyFill="1" applyBorder="1" applyAlignment="1">
      <alignment/>
    </xf>
    <xf numFmtId="10" fontId="11" fillId="38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4" fontId="6" fillId="34" borderId="11" xfId="0" applyNumberFormat="1" applyFont="1" applyFill="1" applyBorder="1" applyAlignment="1">
      <alignment/>
    </xf>
    <xf numFmtId="10" fontId="6" fillId="34" borderId="11" xfId="0" applyNumberFormat="1" applyFont="1" applyFill="1" applyBorder="1" applyAlignment="1">
      <alignment/>
    </xf>
    <xf numFmtId="10" fontId="6" fillId="34" borderId="12" xfId="0" applyNumberFormat="1" applyFont="1" applyFill="1" applyBorder="1" applyAlignment="1">
      <alignment/>
    </xf>
    <xf numFmtId="10" fontId="11" fillId="34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locked="0"/>
    </xf>
    <xf numFmtId="10" fontId="6" fillId="0" borderId="11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0" fontId="11" fillId="0" borderId="11" xfId="0" applyNumberFormat="1" applyFont="1" applyFill="1" applyBorder="1" applyAlignment="1">
      <alignment/>
    </xf>
    <xf numFmtId="4" fontId="11" fillId="0" borderId="11" xfId="61" applyNumberFormat="1" applyFont="1" applyFill="1" applyBorder="1" applyAlignment="1" applyProtection="1">
      <alignment/>
      <protection/>
    </xf>
    <xf numFmtId="10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31" fillId="0" borderId="11" xfId="0" applyNumberFormat="1" applyFont="1" applyFill="1" applyBorder="1" applyAlignment="1">
      <alignment/>
    </xf>
    <xf numFmtId="4" fontId="11" fillId="39" borderId="11" xfId="0" applyNumberFormat="1" applyFont="1" applyFill="1" applyBorder="1" applyAlignment="1" applyProtection="1">
      <alignment/>
      <protection locked="0"/>
    </xf>
    <xf numFmtId="10" fontId="11" fillId="39" borderId="11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4" fontId="11" fillId="39" borderId="11" xfId="61" applyNumberFormat="1" applyFont="1" applyFill="1" applyBorder="1" applyAlignment="1" applyProtection="1">
      <alignment/>
      <protection/>
    </xf>
    <xf numFmtId="10" fontId="11" fillId="39" borderId="12" xfId="0" applyNumberFormat="1" applyFont="1" applyFill="1" applyBorder="1" applyAlignment="1">
      <alignment/>
    </xf>
    <xf numFmtId="4" fontId="11" fillId="40" borderId="11" xfId="0" applyNumberFormat="1" applyFont="1" applyFill="1" applyBorder="1" applyAlignment="1">
      <alignment/>
    </xf>
    <xf numFmtId="10" fontId="11" fillId="40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/>
      <protection locked="0"/>
    </xf>
    <xf numFmtId="0" fontId="11" fillId="40" borderId="12" xfId="0" applyFont="1" applyFill="1" applyBorder="1" applyAlignment="1">
      <alignment/>
    </xf>
    <xf numFmtId="4" fontId="11" fillId="36" borderId="11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3" fillId="0" borderId="0" xfId="0" applyFont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14" fontId="12" fillId="0" borderId="11" xfId="0" applyNumberFormat="1" applyFont="1" applyBorder="1" applyAlignment="1">
      <alignment horizontal="center" wrapText="1"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49" fontId="12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49" fontId="12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36" borderId="21" xfId="0" applyFont="1" applyFill="1" applyBorder="1" applyAlignment="1" applyProtection="1">
      <alignment horizontal="center" vertical="center" wrapText="1"/>
      <protection locked="0"/>
    </xf>
    <xf numFmtId="4" fontId="12" fillId="36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9" xfId="0" applyFont="1" applyFill="1" applyBorder="1" applyAlignment="1" applyProtection="1">
      <alignment horizontal="center" vertical="center" wrapText="1"/>
      <protection locked="0"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3" fontId="1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2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2" fillId="36" borderId="12" xfId="0" applyNumberFormat="1" applyFont="1" applyFill="1" applyBorder="1" applyAlignment="1">
      <alignment horizontal="center" vertical="center"/>
    </xf>
    <xf numFmtId="3" fontId="19" fillId="36" borderId="12" xfId="0" applyNumberFormat="1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wrapText="1"/>
    </xf>
    <xf numFmtId="4" fontId="12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36" borderId="21" xfId="0" applyNumberFormat="1" applyFont="1" applyFill="1" applyBorder="1" applyAlignment="1">
      <alignment horizontal="center" vertical="center" wrapText="1"/>
    </xf>
    <xf numFmtId="4" fontId="19" fillId="36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19" fillId="36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/>
    </xf>
    <xf numFmtId="0" fontId="11" fillId="34" borderId="16" xfId="0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4" fontId="69" fillId="0" borderId="11" xfId="0" applyNumberFormat="1" applyFont="1" applyFill="1" applyBorder="1" applyAlignment="1">
      <alignment/>
    </xf>
    <xf numFmtId="10" fontId="69" fillId="0" borderId="11" xfId="0" applyNumberFormat="1" applyFont="1" applyFill="1" applyBorder="1" applyAlignment="1">
      <alignment/>
    </xf>
    <xf numFmtId="4" fontId="70" fillId="0" borderId="11" xfId="0" applyNumberFormat="1" applyFont="1" applyFill="1" applyBorder="1" applyAlignment="1">
      <alignment/>
    </xf>
    <xf numFmtId="4" fontId="69" fillId="36" borderId="11" xfId="0" applyNumberFormat="1" applyFont="1" applyFill="1" applyBorder="1" applyAlignment="1">
      <alignment/>
    </xf>
    <xf numFmtId="4" fontId="70" fillId="34" borderId="11" xfId="0" applyNumberFormat="1" applyFont="1" applyFill="1" applyBorder="1" applyAlignment="1">
      <alignment/>
    </xf>
    <xf numFmtId="10" fontId="69" fillId="34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42" applyNumberFormat="1" applyFont="1" applyFill="1" applyBorder="1" applyAlignment="1" applyProtection="1">
      <alignment horizontal="left"/>
      <protection/>
    </xf>
    <xf numFmtId="1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Border="1" applyAlignment="1">
      <alignment horizontal="center" vertical="top" wrapText="1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71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gnogorsk@socmurman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6:O25"/>
  <sheetViews>
    <sheetView zoomScaleSheetLayoutView="190" zoomScalePageLayoutView="0" workbookViewId="0" topLeftCell="B1">
      <selection activeCell="B11" sqref="B11"/>
    </sheetView>
  </sheetViews>
  <sheetFormatPr defaultColWidth="9.50390625" defaultRowHeight="12.75"/>
  <cols>
    <col min="1" max="8" width="9.50390625" style="1" customWidth="1"/>
    <col min="9" max="9" width="15.50390625" style="1" customWidth="1"/>
    <col min="10" max="15" width="9.50390625" style="2" customWidth="1"/>
    <col min="16" max="16384" width="9.50390625" style="1" customWidth="1"/>
  </cols>
  <sheetData>
    <row r="6" spans="2:11" ht="44.25" customHeight="1">
      <c r="B6" s="374" t="s">
        <v>0</v>
      </c>
      <c r="C6" s="374"/>
      <c r="D6" s="374"/>
      <c r="E6" s="374"/>
      <c r="F6" s="374"/>
      <c r="G6" s="374"/>
      <c r="H6" s="374"/>
      <c r="I6" s="374"/>
      <c r="J6" s="3"/>
      <c r="K6" s="3"/>
    </row>
    <row r="8" spans="2:11" ht="33.75" customHeight="1">
      <c r="B8" s="375" t="s">
        <v>1</v>
      </c>
      <c r="C8" s="375"/>
      <c r="D8" s="375"/>
      <c r="E8" s="375"/>
      <c r="F8" s="375"/>
      <c r="G8" s="375"/>
      <c r="H8" s="375"/>
      <c r="I8" s="375"/>
      <c r="J8" s="4"/>
      <c r="K8" s="4"/>
    </row>
    <row r="9" spans="2:15" s="5" customFormat="1" ht="12.7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</row>
    <row r="10" spans="2:9" ht="18">
      <c r="B10" s="376" t="s">
        <v>680</v>
      </c>
      <c r="C10" s="376"/>
      <c r="D10" s="376"/>
      <c r="E10" s="376"/>
      <c r="F10" s="376"/>
      <c r="G10" s="376"/>
      <c r="H10" s="376"/>
      <c r="I10" s="376"/>
    </row>
    <row r="13" ht="18">
      <c r="B13" s="1" t="s">
        <v>2</v>
      </c>
    </row>
    <row r="14" spans="2:11" ht="18">
      <c r="B14" s="9" t="s">
        <v>3</v>
      </c>
      <c r="C14" s="377" t="s">
        <v>4</v>
      </c>
      <c r="D14" s="377"/>
      <c r="E14" s="377"/>
      <c r="F14" s="377"/>
      <c r="G14" s="377"/>
      <c r="H14" s="377"/>
      <c r="I14" s="377"/>
      <c r="J14" s="10"/>
      <c r="K14" s="10"/>
    </row>
    <row r="15" spans="2:11" ht="18">
      <c r="B15" s="9" t="s">
        <v>5</v>
      </c>
      <c r="C15" s="377" t="s">
        <v>6</v>
      </c>
      <c r="D15" s="377"/>
      <c r="E15" s="377"/>
      <c r="F15" s="377"/>
      <c r="G15" s="377"/>
      <c r="H15" s="377"/>
      <c r="I15" s="377"/>
      <c r="J15" s="10"/>
      <c r="K15" s="10"/>
    </row>
    <row r="16" spans="2:11" ht="18">
      <c r="B16" s="9" t="s">
        <v>7</v>
      </c>
      <c r="C16" s="377" t="s">
        <v>8</v>
      </c>
      <c r="D16" s="377"/>
      <c r="E16" s="377"/>
      <c r="F16" s="377"/>
      <c r="G16" s="377"/>
      <c r="H16" s="377"/>
      <c r="I16" s="377"/>
      <c r="J16" s="10"/>
      <c r="K16" s="10"/>
    </row>
    <row r="17" spans="2:11" ht="18">
      <c r="B17" s="9" t="s">
        <v>9</v>
      </c>
      <c r="C17" s="377" t="s">
        <v>10</v>
      </c>
      <c r="D17" s="377"/>
      <c r="E17" s="377"/>
      <c r="F17" s="377"/>
      <c r="G17" s="377"/>
      <c r="H17" s="377"/>
      <c r="I17" s="377"/>
      <c r="J17" s="10"/>
      <c r="K17" s="10"/>
    </row>
    <row r="18" spans="2:11" ht="18">
      <c r="B18" s="9" t="s">
        <v>11</v>
      </c>
      <c r="C18" s="377" t="s">
        <v>12</v>
      </c>
      <c r="D18" s="377"/>
      <c r="E18" s="377"/>
      <c r="F18" s="377"/>
      <c r="G18" s="377"/>
      <c r="H18" s="377"/>
      <c r="I18" s="377"/>
      <c r="J18" s="10"/>
      <c r="K18" s="10"/>
    </row>
    <row r="19" spans="2:12" ht="18">
      <c r="B19" s="9" t="s">
        <v>13</v>
      </c>
      <c r="C19" s="377" t="s">
        <v>14</v>
      </c>
      <c r="D19" s="377"/>
      <c r="E19" s="377"/>
      <c r="F19" s="377"/>
      <c r="G19" s="377"/>
      <c r="H19" s="377"/>
      <c r="I19" s="377"/>
      <c r="J19" s="7"/>
      <c r="K19" s="7"/>
      <c r="L19" s="7"/>
    </row>
    <row r="20" spans="2:11" ht="18">
      <c r="B20" s="9" t="s">
        <v>15</v>
      </c>
      <c r="C20" s="377" t="s">
        <v>16</v>
      </c>
      <c r="D20" s="377"/>
      <c r="E20" s="377"/>
      <c r="F20" s="377"/>
      <c r="G20" s="377"/>
      <c r="H20" s="377"/>
      <c r="I20" s="377"/>
      <c r="J20" s="10"/>
      <c r="K20" s="10"/>
    </row>
    <row r="21" spans="2:11" ht="18">
      <c r="B21" s="9" t="s">
        <v>17</v>
      </c>
      <c r="C21" s="377" t="s">
        <v>18</v>
      </c>
      <c r="D21" s="377"/>
      <c r="E21" s="377"/>
      <c r="F21" s="377"/>
      <c r="G21" s="377"/>
      <c r="H21" s="377"/>
      <c r="I21" s="377"/>
      <c r="J21" s="10"/>
      <c r="K21" s="10"/>
    </row>
    <row r="22" spans="2:11" ht="18">
      <c r="B22" s="9" t="s">
        <v>19</v>
      </c>
      <c r="C22" s="377" t="s">
        <v>20</v>
      </c>
      <c r="D22" s="377"/>
      <c r="E22" s="377"/>
      <c r="F22" s="377"/>
      <c r="G22" s="377"/>
      <c r="H22" s="377"/>
      <c r="I22" s="377"/>
      <c r="J22" s="11"/>
      <c r="K22" s="11"/>
    </row>
    <row r="23" spans="2:11" ht="18">
      <c r="B23" s="9" t="s">
        <v>21</v>
      </c>
      <c r="C23" s="377" t="s">
        <v>22</v>
      </c>
      <c r="D23" s="377"/>
      <c r="E23" s="377"/>
      <c r="F23" s="377"/>
      <c r="G23" s="377"/>
      <c r="H23" s="377"/>
      <c r="I23" s="377"/>
      <c r="J23" s="12"/>
      <c r="K23" s="12"/>
    </row>
    <row r="24" ht="18">
      <c r="B24" s="9"/>
    </row>
    <row r="25" ht="18">
      <c r="B25" s="9"/>
    </row>
  </sheetData>
  <sheetProtection selectLockedCells="1" selectUnlockedCells="1"/>
  <mergeCells count="13">
    <mergeCell ref="C23:I23"/>
    <mergeCell ref="C17:I17"/>
    <mergeCell ref="C18:I18"/>
    <mergeCell ref="C19:I19"/>
    <mergeCell ref="C20:I20"/>
    <mergeCell ref="C21:I21"/>
    <mergeCell ref="C22:I22"/>
    <mergeCell ref="B6:I6"/>
    <mergeCell ref="B8:I8"/>
    <mergeCell ref="B10:I10"/>
    <mergeCell ref="C14:I14"/>
    <mergeCell ref="C15:I15"/>
    <mergeCell ref="C16:I16"/>
  </mergeCells>
  <hyperlinks>
    <hyperlink ref="C14" location="Общие сведения!C6" display="Общие сведения"/>
    <hyperlink ref="C15" location="Общие сведения!C6" display="Сведения об оказании государственных услуг "/>
    <hyperlink ref="C16" location="Контингент!D30" display="Сведения о  персонале "/>
    <hyperlink ref="C17" location="Руководители!D7" display="Сведения о руководящих работниках "/>
    <hyperlink ref="C18" location="Инфраструктура!D7" display="Сведения об инфраструктуре  "/>
    <hyperlink ref="C19" location="Оборудование!D7" display="Сведения об оборудовании "/>
    <hyperlink ref="C20" location="Коммунальные услуги!D7" display="Сведения о потреблении коммунальных услуг"/>
    <hyperlink ref="C21" location="Износ!D6" display="Сведения о стоимости и износе материальных средств "/>
    <hyperlink ref="C22" location="Расходы!E10" display="Сведения о расходах "/>
    <hyperlink ref="C23" location="Предписания!D7" display="Предписания надзорных органов"/>
  </hyperlinks>
  <printOptions/>
  <pageMargins left="0.7875" right="0.5902777777777778" top="0.5902777777777778" bottom="0.5902777777777777" header="0.5118055555555555" footer="0.5118055555555555"/>
  <pageSetup horizontalDpi="300" verticalDpi="300" orientation="portrait" paperSize="9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Y73"/>
  <sheetViews>
    <sheetView zoomScale="88" zoomScaleNormal="88" zoomScalePageLayoutView="0" workbookViewId="0" topLeftCell="A58">
      <pane xSplit="31" topLeftCell="AN1" activePane="topRight" state="frozen"/>
      <selection pane="topLeft" activeCell="A1" sqref="A1"/>
      <selection pane="topRight" activeCell="AU71" sqref="AU71"/>
    </sheetView>
  </sheetViews>
  <sheetFormatPr defaultColWidth="9.50390625" defaultRowHeight="12.75"/>
  <cols>
    <col min="1" max="1" width="7.50390625" style="72" customWidth="1"/>
    <col min="2" max="2" width="43.50390625" style="72" customWidth="1"/>
    <col min="3" max="3" width="6.875" style="72" customWidth="1"/>
    <col min="4" max="31" width="0" style="72" hidden="1" customWidth="1"/>
    <col min="32" max="32" width="19.125" style="72" customWidth="1"/>
    <col min="33" max="34" width="0" style="72" hidden="1" customWidth="1"/>
    <col min="35" max="35" width="18.50390625" style="72" customWidth="1"/>
    <col min="36" max="36" width="16.375" style="72" customWidth="1"/>
    <col min="37" max="37" width="19.125" style="72" customWidth="1"/>
    <col min="38" max="39" width="0" style="72" hidden="1" customWidth="1"/>
    <col min="40" max="40" width="18.50390625" style="72" customWidth="1"/>
    <col min="41" max="41" width="16.375" style="72" customWidth="1"/>
    <col min="42" max="42" width="19.125" style="72" customWidth="1"/>
    <col min="43" max="44" width="0" style="72" hidden="1" customWidth="1"/>
    <col min="45" max="45" width="18.50390625" style="72" customWidth="1"/>
    <col min="46" max="46" width="16.375" style="72" customWidth="1"/>
    <col min="47" max="47" width="19.125" style="72" customWidth="1"/>
    <col min="48" max="49" width="0" style="72" hidden="1" customWidth="1"/>
    <col min="50" max="50" width="18.50390625" style="72" customWidth="1"/>
    <col min="51" max="51" width="16.375" style="72" customWidth="1"/>
    <col min="52" max="16384" width="9.50390625" style="72" customWidth="1"/>
  </cols>
  <sheetData>
    <row r="1" spans="1:4" ht="15">
      <c r="A1" s="381"/>
      <c r="B1" s="381"/>
      <c r="C1" s="381"/>
      <c r="D1" s="381"/>
    </row>
    <row r="2" spans="1:4" ht="15">
      <c r="A2" s="381" t="s">
        <v>20</v>
      </c>
      <c r="B2" s="381"/>
      <c r="C2" s="381"/>
      <c r="D2" s="381"/>
    </row>
    <row r="3" spans="1:34" ht="15" customHeight="1">
      <c r="A3" s="410" t="s">
        <v>23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</row>
    <row r="4" spans="1:4" ht="15">
      <c r="A4" s="411" t="s">
        <v>461</v>
      </c>
      <c r="B4" s="411"/>
      <c r="C4" s="411"/>
      <c r="D4" s="411"/>
    </row>
    <row r="6" spans="1:51" s="248" customFormat="1" ht="45.75" customHeight="1">
      <c r="A6" s="80" t="s">
        <v>206</v>
      </c>
      <c r="B6" s="80" t="s">
        <v>462</v>
      </c>
      <c r="C6" s="80" t="s">
        <v>463</v>
      </c>
      <c r="D6" s="80" t="s">
        <v>464</v>
      </c>
      <c r="E6" s="80" t="s">
        <v>465</v>
      </c>
      <c r="F6" s="80" t="s">
        <v>466</v>
      </c>
      <c r="G6" s="80" t="s">
        <v>467</v>
      </c>
      <c r="H6" s="80" t="s">
        <v>468</v>
      </c>
      <c r="I6" s="80" t="s">
        <v>469</v>
      </c>
      <c r="J6" s="80" t="s">
        <v>470</v>
      </c>
      <c r="K6" s="80" t="s">
        <v>471</v>
      </c>
      <c r="L6" s="80" t="s">
        <v>472</v>
      </c>
      <c r="M6" s="80" t="s">
        <v>473</v>
      </c>
      <c r="N6" s="80" t="s">
        <v>474</v>
      </c>
      <c r="O6" s="80" t="s">
        <v>475</v>
      </c>
      <c r="P6" s="80" t="s">
        <v>476</v>
      </c>
      <c r="Q6" s="80" t="s">
        <v>477</v>
      </c>
      <c r="R6" s="80" t="s">
        <v>478</v>
      </c>
      <c r="S6" s="80" t="s">
        <v>479</v>
      </c>
      <c r="T6" s="80" t="s">
        <v>480</v>
      </c>
      <c r="U6" s="80" t="s">
        <v>481</v>
      </c>
      <c r="V6" s="80" t="s">
        <v>482</v>
      </c>
      <c r="W6" s="80" t="s">
        <v>483</v>
      </c>
      <c r="X6" s="80" t="s">
        <v>484</v>
      </c>
      <c r="Y6" s="80" t="s">
        <v>485</v>
      </c>
      <c r="Z6" s="80" t="s">
        <v>486</v>
      </c>
      <c r="AA6" s="80" t="s">
        <v>487</v>
      </c>
      <c r="AB6" s="220" t="s">
        <v>488</v>
      </c>
      <c r="AC6" s="80" t="s">
        <v>489</v>
      </c>
      <c r="AD6" s="57" t="s">
        <v>490</v>
      </c>
      <c r="AE6" s="57" t="s">
        <v>491</v>
      </c>
      <c r="AF6" s="80" t="s">
        <v>492</v>
      </c>
      <c r="AG6" s="80" t="s">
        <v>493</v>
      </c>
      <c r="AH6" s="80" t="s">
        <v>494</v>
      </c>
      <c r="AI6" s="80" t="s">
        <v>495</v>
      </c>
      <c r="AJ6" s="80" t="s">
        <v>496</v>
      </c>
      <c r="AK6" s="80" t="s">
        <v>497</v>
      </c>
      <c r="AL6" s="80" t="s">
        <v>493</v>
      </c>
      <c r="AM6" s="80" t="s">
        <v>494</v>
      </c>
      <c r="AN6" s="80" t="s">
        <v>498</v>
      </c>
      <c r="AO6" s="80" t="s">
        <v>499</v>
      </c>
      <c r="AP6" s="314" t="s">
        <v>673</v>
      </c>
      <c r="AQ6" s="314" t="s">
        <v>493</v>
      </c>
      <c r="AR6" s="314" t="s">
        <v>494</v>
      </c>
      <c r="AS6" s="314" t="s">
        <v>674</v>
      </c>
      <c r="AT6" s="314" t="s">
        <v>675</v>
      </c>
      <c r="AU6" s="314" t="s">
        <v>685</v>
      </c>
      <c r="AV6" s="314" t="s">
        <v>493</v>
      </c>
      <c r="AW6" s="314" t="s">
        <v>494</v>
      </c>
      <c r="AX6" s="314" t="s">
        <v>686</v>
      </c>
      <c r="AY6" s="314" t="s">
        <v>687</v>
      </c>
    </row>
    <row r="7" spans="1:51" s="251" customFormat="1" ht="7.5">
      <c r="A7" s="249">
        <v>1</v>
      </c>
      <c r="B7" s="249">
        <v>2</v>
      </c>
      <c r="C7" s="249">
        <v>3</v>
      </c>
      <c r="D7" s="249">
        <v>4</v>
      </c>
      <c r="E7" s="249">
        <v>5</v>
      </c>
      <c r="F7" s="249">
        <v>6</v>
      </c>
      <c r="G7" s="249">
        <v>7</v>
      </c>
      <c r="H7" s="249">
        <v>8</v>
      </c>
      <c r="I7" s="249">
        <v>9</v>
      </c>
      <c r="J7" s="249">
        <v>10</v>
      </c>
      <c r="K7" s="249">
        <v>11</v>
      </c>
      <c r="L7" s="249">
        <v>12</v>
      </c>
      <c r="M7" s="249">
        <v>13</v>
      </c>
      <c r="N7" s="249">
        <v>14</v>
      </c>
      <c r="O7" s="249">
        <v>15</v>
      </c>
      <c r="P7" s="249">
        <v>16</v>
      </c>
      <c r="Q7" s="249">
        <v>17</v>
      </c>
      <c r="R7" s="249">
        <v>18</v>
      </c>
      <c r="S7" s="249">
        <v>19</v>
      </c>
      <c r="T7" s="249">
        <v>17</v>
      </c>
      <c r="U7" s="249">
        <v>18</v>
      </c>
      <c r="V7" s="249">
        <v>19</v>
      </c>
      <c r="W7" s="249">
        <v>17</v>
      </c>
      <c r="X7" s="249">
        <v>18</v>
      </c>
      <c r="Y7" s="250">
        <v>19</v>
      </c>
      <c r="Z7" s="249">
        <v>20</v>
      </c>
      <c r="AA7" s="249">
        <v>21</v>
      </c>
      <c r="AB7" s="250">
        <v>22</v>
      </c>
      <c r="AC7" s="249">
        <v>23</v>
      </c>
      <c r="AD7" s="249">
        <v>24</v>
      </c>
      <c r="AE7" s="249">
        <v>25</v>
      </c>
      <c r="AF7" s="249">
        <v>23</v>
      </c>
      <c r="AG7" s="249">
        <v>24</v>
      </c>
      <c r="AH7" s="249">
        <v>25</v>
      </c>
      <c r="AI7" s="251">
        <v>24</v>
      </c>
      <c r="AJ7" s="251">
        <v>25</v>
      </c>
      <c r="AK7" s="249">
        <v>23</v>
      </c>
      <c r="AL7" s="249">
        <v>24</v>
      </c>
      <c r="AM7" s="249">
        <v>25</v>
      </c>
      <c r="AN7" s="251">
        <v>24</v>
      </c>
      <c r="AO7" s="251">
        <v>25</v>
      </c>
      <c r="AP7" s="249">
        <v>23</v>
      </c>
      <c r="AQ7" s="249">
        <v>24</v>
      </c>
      <c r="AR7" s="249">
        <v>25</v>
      </c>
      <c r="AS7" s="251">
        <v>24</v>
      </c>
      <c r="AT7" s="251">
        <v>25</v>
      </c>
      <c r="AU7" s="249">
        <v>23</v>
      </c>
      <c r="AV7" s="249">
        <v>24</v>
      </c>
      <c r="AW7" s="249">
        <v>25</v>
      </c>
      <c r="AX7" s="251">
        <v>24</v>
      </c>
      <c r="AY7" s="251">
        <v>25</v>
      </c>
    </row>
    <row r="8" spans="1:51" ht="15">
      <c r="A8" s="252" t="s">
        <v>3</v>
      </c>
      <c r="B8" s="253" t="s">
        <v>500</v>
      </c>
      <c r="C8" s="252">
        <v>200</v>
      </c>
      <c r="D8" s="252" t="s">
        <v>501</v>
      </c>
      <c r="E8" s="254">
        <f>+E9+E19+E43+E49</f>
        <v>308252.63</v>
      </c>
      <c r="F8" s="254">
        <f>+F9+F19+F43+F49</f>
        <v>293861.93</v>
      </c>
      <c r="G8" s="255">
        <f>+F8/E8</f>
        <v>0.9533152401651852</v>
      </c>
      <c r="H8" s="254">
        <f>+H9+H19+H43+H49</f>
        <v>321576.07999999996</v>
      </c>
      <c r="I8" s="254">
        <f>+I9+I19+I43+I49</f>
        <v>307207.04</v>
      </c>
      <c r="J8" s="255">
        <f>+I8/H8</f>
        <v>0.9553168258037104</v>
      </c>
      <c r="K8" s="254">
        <f>+K9+K19+K43+K49</f>
        <v>348913.04999999993</v>
      </c>
      <c r="L8" s="254">
        <f>+L9+L19+L43+L49</f>
        <v>313560.82</v>
      </c>
      <c r="M8" s="255">
        <f>+L8/K8</f>
        <v>0.8986789688720443</v>
      </c>
      <c r="N8" s="254">
        <f>+N9+N19+N43+N49</f>
        <v>339799.16</v>
      </c>
      <c r="O8" s="254">
        <f>+O9+O19+O43+O49</f>
        <v>306172.8399999999</v>
      </c>
      <c r="P8" s="255">
        <f aca="true" t="shared" si="0" ref="P8:P13">+O8/N8</f>
        <v>0.9010406029255632</v>
      </c>
      <c r="Q8" s="254">
        <f>+Q9+Q19+Q43+Q49</f>
        <v>344879.00000000006</v>
      </c>
      <c r="R8" s="254">
        <f>+R9+R19+R43+R49</f>
        <v>338400.14738000004</v>
      </c>
      <c r="S8" s="255">
        <f>+R8/Q8</f>
        <v>0.9812141283754592</v>
      </c>
      <c r="T8" s="254">
        <f>+T9+T19+T43+T49</f>
        <v>389700.64107</v>
      </c>
      <c r="U8" s="254">
        <f>+U9+U19+U43+U49</f>
        <v>380952.07713</v>
      </c>
      <c r="V8" s="255">
        <f>+U8/T8</f>
        <v>0.977550552865453</v>
      </c>
      <c r="W8" s="254">
        <f>+W9+W19+W43+W49</f>
        <v>465080.52076000004</v>
      </c>
      <c r="X8" s="254">
        <f>+X9+X19+X43+X49</f>
        <v>455891.64432</v>
      </c>
      <c r="Y8" s="256">
        <f>+X8/W8</f>
        <v>0.9802423966822256</v>
      </c>
      <c r="Z8" s="254">
        <f>+Z9+Z19+Z43+Z49</f>
        <v>480937.32079</v>
      </c>
      <c r="AA8" s="254">
        <f>+AA9+AA19+AA43+AA49</f>
        <v>471462.2396699999</v>
      </c>
      <c r="AB8" s="256">
        <f>AA8/Z8</f>
        <v>0.9802987193748323</v>
      </c>
      <c r="AC8" s="254">
        <f>AC9+AC19+AC43+AC49</f>
        <v>502223.44995999994</v>
      </c>
      <c r="AD8" s="254">
        <f>AD9+AD19+AD43+AD49</f>
        <v>486213.9984</v>
      </c>
      <c r="AE8" s="257">
        <f>AD8/AC8</f>
        <v>0.968122851369694</v>
      </c>
      <c r="AF8" s="254">
        <f>AF9+AF19+AF43+AF49</f>
        <v>532772.09198</v>
      </c>
      <c r="AG8" s="254">
        <f>AG9+AG19+AG43+AG49</f>
        <v>263093.65460000007</v>
      </c>
      <c r="AH8" s="257">
        <f aca="true" t="shared" si="1" ref="AH8:AH13">AG8/AF8</f>
        <v>0.4938202630363688</v>
      </c>
      <c r="AI8" s="254">
        <f>AI9+AI19+AI43+AI49</f>
        <v>527409.04289</v>
      </c>
      <c r="AJ8" s="257">
        <f>+AI8/AF8</f>
        <v>0.9899336899009318</v>
      </c>
      <c r="AK8" s="254">
        <f>AK9+AK19+AK43+AK49</f>
        <v>685477.9809500001</v>
      </c>
      <c r="AL8" s="254">
        <f>AL9+AL19+AL43+AL49</f>
        <v>263093.65460000007</v>
      </c>
      <c r="AM8" s="257">
        <f aca="true" t="shared" si="2" ref="AM8:AM13">AL8/AK8</f>
        <v>0.3838105116598786</v>
      </c>
      <c r="AN8" s="254">
        <f>AN9+AN19+AN43+AN49</f>
        <v>672526.3551999999</v>
      </c>
      <c r="AO8" s="257">
        <f>+AN8/AK8</f>
        <v>0.9811057012625691</v>
      </c>
      <c r="AP8" s="254">
        <f>AP9+AP19+AP43+AP49</f>
        <v>772562.4508610001</v>
      </c>
      <c r="AQ8" s="254">
        <f>AQ9+AQ19+AQ43+AQ49</f>
        <v>263093.65460000007</v>
      </c>
      <c r="AR8" s="257">
        <f aca="true" t="shared" si="3" ref="AR8:AR13">AQ8/AP8</f>
        <v>0.3405467794956761</v>
      </c>
      <c r="AS8" s="254">
        <f>AS9+AS19+AS43+AS49</f>
        <v>759644.7440499999</v>
      </c>
      <c r="AT8" s="257">
        <f>+AS8/AP8</f>
        <v>0.9832794011712531</v>
      </c>
      <c r="AU8" s="254">
        <f>AU9+AU19+AU43+AU49</f>
        <v>821147.02203</v>
      </c>
      <c r="AV8" s="254">
        <f>AV9+AV19+AV43+AV49</f>
        <v>263093.65460000007</v>
      </c>
      <c r="AW8" s="257">
        <f aca="true" t="shared" si="4" ref="AW8:AW13">AV8/AU8</f>
        <v>0.3203977455213716</v>
      </c>
      <c r="AX8" s="254">
        <f>AX9+AX19+AX43+AX49</f>
        <v>390129.39433000004</v>
      </c>
      <c r="AY8" s="257">
        <f>+AX8/AU8</f>
        <v>0.4751029765236693</v>
      </c>
    </row>
    <row r="9" spans="1:51" ht="30.75">
      <c r="A9" s="185" t="s">
        <v>502</v>
      </c>
      <c r="B9" s="258" t="s">
        <v>503</v>
      </c>
      <c r="C9" s="185">
        <v>210</v>
      </c>
      <c r="D9" s="185">
        <v>21000</v>
      </c>
      <c r="E9" s="259">
        <f>E10+E12+E16</f>
        <v>15104.62</v>
      </c>
      <c r="F9" s="259">
        <f>F10+F12+F16</f>
        <v>14983.93</v>
      </c>
      <c r="G9" s="260">
        <f>+F9/E9</f>
        <v>0.9920097294734989</v>
      </c>
      <c r="H9" s="259">
        <f>H10+H12+H16</f>
        <v>18487.52</v>
      </c>
      <c r="I9" s="259">
        <f>I10+I12+I16</f>
        <v>18151.17</v>
      </c>
      <c r="J9" s="260">
        <f>+I9/H9</f>
        <v>0.9818066457805048</v>
      </c>
      <c r="K9" s="259">
        <f>K10+K12+K16</f>
        <v>20139.72</v>
      </c>
      <c r="L9" s="259">
        <f>L10+L12+L16</f>
        <v>19934.36</v>
      </c>
      <c r="M9" s="260">
        <f>+L9/K9</f>
        <v>0.989803234603063</v>
      </c>
      <c r="N9" s="259">
        <f>N10+N12+N16</f>
        <v>21347.88</v>
      </c>
      <c r="O9" s="259">
        <f>O10+O12+O16</f>
        <v>21215.61</v>
      </c>
      <c r="P9" s="260">
        <f t="shared" si="0"/>
        <v>0.9938040686007229</v>
      </c>
      <c r="Q9" s="259">
        <f>Q10+Q12+Q16</f>
        <v>23056.22</v>
      </c>
      <c r="R9" s="259">
        <f>R10+R12+R16</f>
        <v>23009.48</v>
      </c>
      <c r="S9" s="260">
        <f>+R9/Q9</f>
        <v>0.9979727813145433</v>
      </c>
      <c r="T9" s="259">
        <f>T10+T12+T16</f>
        <v>23248.33098</v>
      </c>
      <c r="U9" s="259">
        <f>U10+U12+U16</f>
        <v>23056.53967</v>
      </c>
      <c r="V9" s="260">
        <f>+U9/T9</f>
        <v>0.9917503191878594</v>
      </c>
      <c r="W9" s="259">
        <f>W10+W12+W16</f>
        <v>25692.59211</v>
      </c>
      <c r="X9" s="259">
        <f>X10+X12+X16</f>
        <v>25511.892809999998</v>
      </c>
      <c r="Y9" s="261">
        <f>+X9/W9</f>
        <v>0.9929668715703592</v>
      </c>
      <c r="Z9" s="259">
        <f>Z10+Z12+Z16</f>
        <v>27009.355579999996</v>
      </c>
      <c r="AA9" s="259">
        <f>AA10+AA12+AA16</f>
        <v>26967.60948</v>
      </c>
      <c r="AB9" s="261">
        <f>AA9/Z9</f>
        <v>0.9984543837087728</v>
      </c>
      <c r="AC9" s="259">
        <f>AC10+AC12+AC16</f>
        <v>27945.430109999998</v>
      </c>
      <c r="AD9" s="259">
        <f>AD10+AD12+AD16</f>
        <v>27861.259660000003</v>
      </c>
      <c r="AE9" s="262">
        <f>AD9/AC9</f>
        <v>0.9969880424216525</v>
      </c>
      <c r="AF9" s="259">
        <f>AF10+AF12+AF16+AF17</f>
        <v>28554.31186</v>
      </c>
      <c r="AG9" s="259">
        <f>AG10+AG12+AG16+AG17</f>
        <v>14585.563470000001</v>
      </c>
      <c r="AH9" s="262">
        <f t="shared" si="1"/>
        <v>0.5108007344569221</v>
      </c>
      <c r="AI9" s="259">
        <f>AI10+AI12+AI16+AI17</f>
        <v>28230.1475</v>
      </c>
      <c r="AJ9" s="262">
        <f>+AI9/AF9</f>
        <v>0.9886474462564757</v>
      </c>
      <c r="AK9" s="259">
        <f>AK10+AK12+AK16+AK17</f>
        <v>31340.595789999996</v>
      </c>
      <c r="AL9" s="259">
        <f>AL10+AL12+AL16+AL17</f>
        <v>14585.563470000001</v>
      </c>
      <c r="AM9" s="262">
        <f t="shared" si="2"/>
        <v>0.4653888384168463</v>
      </c>
      <c r="AN9" s="259">
        <f>AN10+AN12+AN16+AN17</f>
        <v>30921.26655</v>
      </c>
      <c r="AO9" s="262">
        <f>+AN9/AK9</f>
        <v>0.9866202530797519</v>
      </c>
      <c r="AP9" s="259">
        <f>AP10+AP12+AP16+AP17</f>
        <v>32538.6023</v>
      </c>
      <c r="AQ9" s="259">
        <f>AQ10+AQ12+AQ16+AQ17</f>
        <v>14585.563470000001</v>
      </c>
      <c r="AR9" s="262">
        <f t="shared" si="3"/>
        <v>0.4482541485809303</v>
      </c>
      <c r="AS9" s="259">
        <f>AS10+AS12+AS16+AS17</f>
        <v>32302.337059999998</v>
      </c>
      <c r="AT9" s="262">
        <f>+AS9/AP9</f>
        <v>0.9927389247447792</v>
      </c>
      <c r="AU9" s="259">
        <f>AU10+AU12+AU16+AU17</f>
        <v>33790.812450000005</v>
      </c>
      <c r="AV9" s="259">
        <f>AV10+AV12+AV16+AV17</f>
        <v>14585.563470000001</v>
      </c>
      <c r="AW9" s="262">
        <f t="shared" si="4"/>
        <v>0.43164287605046914</v>
      </c>
      <c r="AX9" s="259">
        <f>AX10+AX12+AX16+AX17</f>
        <v>17454.6103</v>
      </c>
      <c r="AY9" s="262">
        <f>+AX9/AU9</f>
        <v>0.5165489976255364</v>
      </c>
    </row>
    <row r="10" spans="1:51" ht="15.75">
      <c r="A10" s="133" t="s">
        <v>504</v>
      </c>
      <c r="B10" s="57" t="s">
        <v>505</v>
      </c>
      <c r="C10" s="133">
        <v>211</v>
      </c>
      <c r="D10" s="133">
        <v>21100</v>
      </c>
      <c r="E10" s="263">
        <f>SUM(E11:E11)</f>
        <v>11930.74</v>
      </c>
      <c r="F10" s="263">
        <f>SUM(F11:F11)</f>
        <v>11930.51</v>
      </c>
      <c r="G10" s="264">
        <f>+F10/E10</f>
        <v>0.9999807220675332</v>
      </c>
      <c r="H10" s="263">
        <f>SUM(H11:H11)</f>
        <v>13462.5</v>
      </c>
      <c r="I10" s="263">
        <f>SUM(I11:I11)</f>
        <v>13462.49</v>
      </c>
      <c r="J10" s="264">
        <f>+I10/H10</f>
        <v>0.9999992571959145</v>
      </c>
      <c r="K10" s="263">
        <f>SUM(K11:K11)</f>
        <v>15138.22</v>
      </c>
      <c r="L10" s="263">
        <f>SUM(L11:L11)</f>
        <v>15138.22</v>
      </c>
      <c r="M10" s="264">
        <f>+L10/K10</f>
        <v>1</v>
      </c>
      <c r="N10" s="263">
        <f>SUM(N11:N11)</f>
        <v>16031.37</v>
      </c>
      <c r="O10" s="263">
        <f>SUM(O11:O11)</f>
        <v>16031.37</v>
      </c>
      <c r="P10" s="264">
        <f t="shared" si="0"/>
        <v>1</v>
      </c>
      <c r="Q10" s="263">
        <f>SUM(Q11:Q11)</f>
        <v>17494.46</v>
      </c>
      <c r="R10" s="263">
        <f>SUM(R11:R11)</f>
        <v>17494.46</v>
      </c>
      <c r="S10" s="264">
        <f>+R10/Q10</f>
        <v>1</v>
      </c>
      <c r="T10" s="263">
        <f>SUM(T11:T11)</f>
        <v>17055.82218</v>
      </c>
      <c r="U10" s="263">
        <f>SUM(U11:U11)</f>
        <v>17055.82218</v>
      </c>
      <c r="V10" s="264">
        <f>+U10/T10</f>
        <v>1</v>
      </c>
      <c r="W10" s="263">
        <f>SUM(W11:W11)</f>
        <v>19350.98389</v>
      </c>
      <c r="X10" s="263">
        <f>SUM(X11:X11)</f>
        <v>19325.03012</v>
      </c>
      <c r="Y10" s="265">
        <f>+X10/W10</f>
        <v>0.9986587880932808</v>
      </c>
      <c r="Z10" s="263">
        <f>SUM(Z11:Z11)</f>
        <v>20200.1</v>
      </c>
      <c r="AA10" s="263">
        <f>SUM(AA11:AA11)</f>
        <v>20196.594530000002</v>
      </c>
      <c r="AB10" s="265">
        <f>+AA10/Z10</f>
        <v>0.9998264627402836</v>
      </c>
      <c r="AC10" s="266">
        <f>(21031225)/1000</f>
        <v>21031.225</v>
      </c>
      <c r="AD10" s="266">
        <f>21021403.21/1000</f>
        <v>21021.40321</v>
      </c>
      <c r="AE10" s="267">
        <f>AD10/AC10</f>
        <v>0.9995329901135099</v>
      </c>
      <c r="AF10" s="266">
        <f>AF11</f>
        <v>21302.54086</v>
      </c>
      <c r="AG10" s="266">
        <f>AG11</f>
        <v>10945.52123</v>
      </c>
      <c r="AH10" s="267">
        <f t="shared" si="1"/>
        <v>0.5138129438142526</v>
      </c>
      <c r="AI10" s="266">
        <f>AI11</f>
        <v>21292.29218</v>
      </c>
      <c r="AJ10" s="267">
        <f>AI10/AF10</f>
        <v>0.9995188987047435</v>
      </c>
      <c r="AK10" s="266">
        <f>AK11</f>
        <v>23419.218229999995</v>
      </c>
      <c r="AL10" s="266">
        <f>AL11</f>
        <v>10945.52123</v>
      </c>
      <c r="AM10" s="267">
        <f t="shared" si="2"/>
        <v>0.46737346748743297</v>
      </c>
      <c r="AN10" s="266">
        <f>AN11</f>
        <v>23419.218230000002</v>
      </c>
      <c r="AO10" s="267">
        <f>AN10/AK10</f>
        <v>1.0000000000000002</v>
      </c>
      <c r="AP10" s="266">
        <f>AP11</f>
        <v>24310.488</v>
      </c>
      <c r="AQ10" s="266">
        <f>AQ11</f>
        <v>10945.52123</v>
      </c>
      <c r="AR10" s="267">
        <f t="shared" si="3"/>
        <v>0.45023864720444934</v>
      </c>
      <c r="AS10" s="266">
        <f>AS11</f>
        <v>24308.32876</v>
      </c>
      <c r="AT10" s="267">
        <f>AS10/AP10</f>
        <v>0.9999111807216704</v>
      </c>
      <c r="AU10" s="266">
        <f>AU11</f>
        <v>25296.87</v>
      </c>
      <c r="AV10" s="266">
        <f>AV11</f>
        <v>10945.52123</v>
      </c>
      <c r="AW10" s="267">
        <f t="shared" si="4"/>
        <v>0.43268282716399303</v>
      </c>
      <c r="AX10" s="266">
        <f>AX11</f>
        <v>13044.738210000001</v>
      </c>
      <c r="AY10" s="267">
        <f>AX10/AU10</f>
        <v>0.5156660966356708</v>
      </c>
    </row>
    <row r="11" spans="1:51" ht="31.5">
      <c r="A11" s="146" t="s">
        <v>506</v>
      </c>
      <c r="B11" s="38" t="s">
        <v>507</v>
      </c>
      <c r="C11" s="146">
        <v>211</v>
      </c>
      <c r="D11" s="146" t="s">
        <v>508</v>
      </c>
      <c r="E11" s="211">
        <v>11930.74</v>
      </c>
      <c r="F11" s="211">
        <v>11930.51</v>
      </c>
      <c r="G11" s="267">
        <f>+F11/E11</f>
        <v>0.9999807220675332</v>
      </c>
      <c r="H11" s="211">
        <v>13462.5</v>
      </c>
      <c r="I11" s="211">
        <v>13462.49</v>
      </c>
      <c r="J11" s="267">
        <f>+I11/H11</f>
        <v>0.9999992571959145</v>
      </c>
      <c r="K11" s="212">
        <v>15138.22</v>
      </c>
      <c r="L11" s="212">
        <v>15138.22</v>
      </c>
      <c r="M11" s="267">
        <f>+L11/K11</f>
        <v>1</v>
      </c>
      <c r="N11" s="212">
        <v>16031.37</v>
      </c>
      <c r="O11" s="212">
        <v>16031.37</v>
      </c>
      <c r="P11" s="267">
        <f t="shared" si="0"/>
        <v>1</v>
      </c>
      <c r="Q11" s="268">
        <f>17475.41+19.05</f>
        <v>17494.46</v>
      </c>
      <c r="R11" s="268">
        <f>17494.46</f>
        <v>17494.46</v>
      </c>
      <c r="S11" s="267">
        <f>+R11/Q11</f>
        <v>1</v>
      </c>
      <c r="T11" s="268">
        <f>17055822.18/1000</f>
        <v>17055.82218</v>
      </c>
      <c r="U11" s="268">
        <f>17055822.18/1000</f>
        <v>17055.82218</v>
      </c>
      <c r="V11" s="267">
        <f>+U11/T11</f>
        <v>1</v>
      </c>
      <c r="W11" s="268">
        <f>(19020700+20049.92+4101.7+306132.27)/1000</f>
        <v>19350.98389</v>
      </c>
      <c r="X11" s="268">
        <f>(280210.83+20049.92+4069.37+19020700)/1000</f>
        <v>19325.03012</v>
      </c>
      <c r="Y11" s="269">
        <f>+X11/W11</f>
        <v>0.9986587880932808</v>
      </c>
      <c r="Z11" s="212">
        <f>(19865265.05+4665.38+21034.09+309135.48)/1000</f>
        <v>20200.1</v>
      </c>
      <c r="AA11" s="212">
        <f>(19865265.05+4109.03+21034.09+306186.36)/1000</f>
        <v>20196.594530000002</v>
      </c>
      <c r="AB11" s="269">
        <f>+AA11/Z11</f>
        <v>0.9998264627402836</v>
      </c>
      <c r="AC11" s="212">
        <v>21030.83234</v>
      </c>
      <c r="AD11" s="212">
        <f>21021403.21/1000</f>
        <v>21021.40321</v>
      </c>
      <c r="AE11" s="267">
        <f>AD11/AC11</f>
        <v>0.9995516520769334</v>
      </c>
      <c r="AF11" s="212">
        <f>(21361813-59272.14)/1000</f>
        <v>21302.54086</v>
      </c>
      <c r="AG11" s="212">
        <f>(10981575.26-36054.03)/1000</f>
        <v>10945.52123</v>
      </c>
      <c r="AH11" s="267">
        <f t="shared" si="1"/>
        <v>0.5138129438142526</v>
      </c>
      <c r="AI11" s="212">
        <f>(21351564.32-59272.14)/1000</f>
        <v>21292.29218</v>
      </c>
      <c r="AJ11" s="267">
        <f>AI11/AF11</f>
        <v>0.9995188987047435</v>
      </c>
      <c r="AK11" s="212">
        <f>(22536552.78+6514.99+25011.33+315700+535439.13)/1000</f>
        <v>23419.218229999995</v>
      </c>
      <c r="AL11" s="212">
        <f>(10981575.26-36054.03)/1000</f>
        <v>10945.52123</v>
      </c>
      <c r="AM11" s="267">
        <f t="shared" si="2"/>
        <v>0.46737346748743297</v>
      </c>
      <c r="AN11" s="212">
        <f>(535439.13+315700+25011.33+6514.99+22536552.78)/1000</f>
        <v>23419.218230000002</v>
      </c>
      <c r="AO11" s="267">
        <f>AN11/AK11</f>
        <v>1.0000000000000002</v>
      </c>
      <c r="AP11" s="212">
        <f>(24310488)/1000</f>
        <v>24310.488</v>
      </c>
      <c r="AQ11" s="212">
        <f>(10981575.26-36054.03)/1000</f>
        <v>10945.52123</v>
      </c>
      <c r="AR11" s="267">
        <f t="shared" si="3"/>
        <v>0.45023864720444934</v>
      </c>
      <c r="AS11" s="212">
        <f>(23150817.68+334895.87+822615.21)/1000</f>
        <v>24308.32876</v>
      </c>
      <c r="AT11" s="267">
        <f>AS11/AP11</f>
        <v>0.9999111807216704</v>
      </c>
      <c r="AU11" s="368">
        <f>(24215330+25060+303880+822600-70000)/1000</f>
        <v>25296.87</v>
      </c>
      <c r="AV11" s="368">
        <f>(10981575.26-36054.03)/1000</f>
        <v>10945.52123</v>
      </c>
      <c r="AW11" s="369">
        <f t="shared" si="4"/>
        <v>0.43268282716399303</v>
      </c>
      <c r="AX11" s="368">
        <f>(13068529.47-23791.26)/1000</f>
        <v>13044.738210000001</v>
      </c>
      <c r="AY11" s="369">
        <f>AX11/AU11</f>
        <v>0.5156660966356708</v>
      </c>
    </row>
    <row r="12" spans="1:51" ht="15.75">
      <c r="A12" s="133" t="s">
        <v>509</v>
      </c>
      <c r="B12" s="57" t="s">
        <v>510</v>
      </c>
      <c r="C12" s="133">
        <v>212</v>
      </c>
      <c r="D12" s="133">
        <v>21200</v>
      </c>
      <c r="E12" s="211">
        <f>SUM(E13:E15)</f>
        <v>148.35</v>
      </c>
      <c r="F12" s="211">
        <f>SUM(F13:F15)</f>
        <v>142.96</v>
      </c>
      <c r="G12" s="267">
        <f>+F12/E12</f>
        <v>0.9636670037074487</v>
      </c>
      <c r="H12" s="211">
        <f>SUM(H13:H15)</f>
        <v>420.94</v>
      </c>
      <c r="I12" s="211">
        <f>SUM(I13:I15)</f>
        <v>413.91</v>
      </c>
      <c r="J12" s="267">
        <f>+I12/H12</f>
        <v>0.9832992825580843</v>
      </c>
      <c r="K12" s="211">
        <f>SUM(K13:K15)</f>
        <v>429.76</v>
      </c>
      <c r="L12" s="211">
        <f>SUM(L13:L15)</f>
        <v>429.76</v>
      </c>
      <c r="M12" s="267">
        <f>+L12/K12</f>
        <v>1</v>
      </c>
      <c r="N12" s="211">
        <f>SUM(N13:N15)</f>
        <v>475.03</v>
      </c>
      <c r="O12" s="211">
        <f>SUM(O13:O15)</f>
        <v>412.38</v>
      </c>
      <c r="P12" s="267">
        <f t="shared" si="0"/>
        <v>0.8681135928257163</v>
      </c>
      <c r="Q12" s="268">
        <f>SUM(Q13:Q15)</f>
        <v>487.66</v>
      </c>
      <c r="R12" s="268">
        <f>SUM(R13:R15)</f>
        <v>454.09</v>
      </c>
      <c r="S12" s="267">
        <f>+R12/Q12</f>
        <v>0.9311610548332854</v>
      </c>
      <c r="T12" s="268">
        <f>SUM(T13:T15)</f>
        <v>1041.6508</v>
      </c>
      <c r="U12" s="268">
        <f>SUM(U13:U15)</f>
        <v>950.25634</v>
      </c>
      <c r="V12" s="267">
        <f>+U12/T12</f>
        <v>0.9122599819440451</v>
      </c>
      <c r="W12" s="268">
        <f>SUM(W13:W15)</f>
        <v>497.56248</v>
      </c>
      <c r="X12" s="268">
        <f>SUM(X13:X15)</f>
        <v>459.42227</v>
      </c>
      <c r="Y12" s="269">
        <f>+X12/W12</f>
        <v>0.9233458881385108</v>
      </c>
      <c r="Z12" s="266">
        <f>Z15</f>
        <v>708.8555799999999</v>
      </c>
      <c r="AA12" s="266">
        <f>AA15</f>
        <v>703.91578</v>
      </c>
      <c r="AB12" s="265">
        <f>AA12/Z12</f>
        <v>0.9930313026526505</v>
      </c>
      <c r="AC12" s="266">
        <f>(489152)/1000</f>
        <v>489.152</v>
      </c>
      <c r="AD12" s="266">
        <f>AD15</f>
        <v>432.21325</v>
      </c>
      <c r="AE12" s="267">
        <f>AD12/AC12</f>
        <v>0.8835970209668979</v>
      </c>
      <c r="AF12" s="266">
        <f>AF13+AF14</f>
        <v>0</v>
      </c>
      <c r="AG12" s="266">
        <f>AG13+AG14</f>
        <v>0</v>
      </c>
      <c r="AH12" s="267" t="e">
        <f t="shared" si="1"/>
        <v>#DIV/0!</v>
      </c>
      <c r="AI12" s="266">
        <f>AI13+AI14</f>
        <v>0</v>
      </c>
      <c r="AJ12" s="267"/>
      <c r="AK12" s="266">
        <f>AK13+AK14</f>
        <v>0</v>
      </c>
      <c r="AL12" s="266">
        <f>AL13+AL14</f>
        <v>0</v>
      </c>
      <c r="AM12" s="267" t="e">
        <f t="shared" si="2"/>
        <v>#DIV/0!</v>
      </c>
      <c r="AN12" s="266">
        <f>AN13+AN14</f>
        <v>0</v>
      </c>
      <c r="AO12" s="267"/>
      <c r="AP12" s="266">
        <f>AP13+AP14</f>
        <v>0</v>
      </c>
      <c r="AQ12" s="266">
        <f>AQ13+AQ14</f>
        <v>0</v>
      </c>
      <c r="AR12" s="267" t="e">
        <f t="shared" si="3"/>
        <v>#DIV/0!</v>
      </c>
      <c r="AS12" s="266">
        <f>AS13+AS14</f>
        <v>0</v>
      </c>
      <c r="AT12" s="267"/>
      <c r="AU12" s="266">
        <f>AU13+AU14</f>
        <v>0</v>
      </c>
      <c r="AV12" s="266">
        <f>AV13+AV14</f>
        <v>0</v>
      </c>
      <c r="AW12" s="267" t="e">
        <f t="shared" si="4"/>
        <v>#DIV/0!</v>
      </c>
      <c r="AX12" s="266">
        <f>AX13+AX14</f>
        <v>0</v>
      </c>
      <c r="AY12" s="267"/>
    </row>
    <row r="13" spans="1:51" ht="15.75">
      <c r="A13" s="51" t="s">
        <v>511</v>
      </c>
      <c r="B13" s="38" t="s">
        <v>512</v>
      </c>
      <c r="C13" s="146"/>
      <c r="D13" s="146" t="s">
        <v>513</v>
      </c>
      <c r="E13" s="211">
        <v>0</v>
      </c>
      <c r="F13" s="211">
        <v>0</v>
      </c>
      <c r="G13" s="267"/>
      <c r="H13" s="211">
        <v>0</v>
      </c>
      <c r="I13" s="211">
        <v>0</v>
      </c>
      <c r="J13" s="267"/>
      <c r="K13" s="212">
        <v>0</v>
      </c>
      <c r="L13" s="212">
        <v>0</v>
      </c>
      <c r="M13" s="267"/>
      <c r="N13" s="212">
        <v>0.5</v>
      </c>
      <c r="O13" s="212">
        <v>0.5</v>
      </c>
      <c r="P13" s="267">
        <f t="shared" si="0"/>
        <v>1</v>
      </c>
      <c r="Q13" s="268"/>
      <c r="R13" s="268"/>
      <c r="S13" s="267"/>
      <c r="T13" s="268"/>
      <c r="U13" s="268"/>
      <c r="V13" s="267"/>
      <c r="W13" s="268"/>
      <c r="X13" s="268"/>
      <c r="Y13" s="269"/>
      <c r="Z13" s="212"/>
      <c r="AA13" s="212"/>
      <c r="AB13" s="270"/>
      <c r="AC13" s="212"/>
      <c r="AD13" s="212"/>
      <c r="AE13" s="267"/>
      <c r="AF13" s="212"/>
      <c r="AG13" s="212">
        <v>0</v>
      </c>
      <c r="AH13" s="267" t="e">
        <f t="shared" si="1"/>
        <v>#DIV/0!</v>
      </c>
      <c r="AI13" s="212"/>
      <c r="AJ13" s="267"/>
      <c r="AK13" s="212"/>
      <c r="AL13" s="212">
        <v>0</v>
      </c>
      <c r="AM13" s="267" t="e">
        <f t="shared" si="2"/>
        <v>#DIV/0!</v>
      </c>
      <c r="AN13" s="212"/>
      <c r="AO13" s="267"/>
      <c r="AP13" s="212"/>
      <c r="AQ13" s="212">
        <v>0</v>
      </c>
      <c r="AR13" s="267" t="e">
        <f t="shared" si="3"/>
        <v>#DIV/0!</v>
      </c>
      <c r="AS13" s="212"/>
      <c r="AT13" s="267"/>
      <c r="AU13" s="368"/>
      <c r="AV13" s="368">
        <v>0</v>
      </c>
      <c r="AW13" s="369" t="e">
        <f t="shared" si="4"/>
        <v>#DIV/0!</v>
      </c>
      <c r="AX13" s="368">
        <v>0</v>
      </c>
      <c r="AY13" s="267"/>
    </row>
    <row r="14" spans="1:51" ht="32.25" customHeight="1">
      <c r="A14" s="146" t="s">
        <v>514</v>
      </c>
      <c r="B14" s="38" t="s">
        <v>515</v>
      </c>
      <c r="C14" s="146"/>
      <c r="D14" s="146" t="s">
        <v>516</v>
      </c>
      <c r="E14" s="211">
        <v>0</v>
      </c>
      <c r="F14" s="211">
        <v>0</v>
      </c>
      <c r="G14" s="267"/>
      <c r="H14" s="211">
        <v>0</v>
      </c>
      <c r="I14" s="211">
        <v>0</v>
      </c>
      <c r="J14" s="267"/>
      <c r="K14" s="212">
        <v>0</v>
      </c>
      <c r="L14" s="212">
        <v>0</v>
      </c>
      <c r="M14" s="267"/>
      <c r="N14" s="212">
        <v>0</v>
      </c>
      <c r="O14" s="212">
        <v>0</v>
      </c>
      <c r="P14" s="267"/>
      <c r="Q14" s="268"/>
      <c r="R14" s="268"/>
      <c r="S14" s="267"/>
      <c r="T14" s="268"/>
      <c r="U14" s="268"/>
      <c r="V14" s="267"/>
      <c r="W14" s="268"/>
      <c r="X14" s="268"/>
      <c r="Y14" s="269"/>
      <c r="Z14" s="212"/>
      <c r="AA14" s="212"/>
      <c r="AB14" s="270"/>
      <c r="AC14" s="212"/>
      <c r="AD14" s="212"/>
      <c r="AE14" s="267"/>
      <c r="AF14" s="271"/>
      <c r="AG14" s="271"/>
      <c r="AH14" s="267"/>
      <c r="AI14" s="271"/>
      <c r="AJ14" s="267"/>
      <c r="AK14" s="212"/>
      <c r="AL14" s="212"/>
      <c r="AM14" s="267"/>
      <c r="AN14" s="212"/>
      <c r="AO14" s="267"/>
      <c r="AP14" s="212"/>
      <c r="AQ14" s="212"/>
      <c r="AR14" s="267"/>
      <c r="AS14" s="212"/>
      <c r="AT14" s="267"/>
      <c r="AU14" s="212"/>
      <c r="AV14" s="212"/>
      <c r="AW14" s="267"/>
      <c r="AX14" s="212"/>
      <c r="AY14" s="267"/>
    </row>
    <row r="15" spans="1:51" ht="15.75">
      <c r="A15" s="146" t="s">
        <v>517</v>
      </c>
      <c r="B15" s="38" t="s">
        <v>518</v>
      </c>
      <c r="C15" s="146"/>
      <c r="D15" s="146" t="s">
        <v>519</v>
      </c>
      <c r="E15" s="272">
        <v>148.35</v>
      </c>
      <c r="F15" s="272">
        <v>142.96</v>
      </c>
      <c r="G15" s="273">
        <f>+F15/E15</f>
        <v>0.9636670037074487</v>
      </c>
      <c r="H15" s="272">
        <v>420.94</v>
      </c>
      <c r="I15" s="272">
        <v>413.91</v>
      </c>
      <c r="J15" s="273">
        <f>+I15/H15</f>
        <v>0.9832992825580843</v>
      </c>
      <c r="K15" s="274">
        <v>429.76</v>
      </c>
      <c r="L15" s="274">
        <v>429.76</v>
      </c>
      <c r="M15" s="273">
        <f>+L15/K15</f>
        <v>1</v>
      </c>
      <c r="N15" s="274">
        <v>474.53</v>
      </c>
      <c r="O15" s="274">
        <v>411.88</v>
      </c>
      <c r="P15" s="273">
        <f>+O15/N15</f>
        <v>0.8679746275261838</v>
      </c>
      <c r="Q15" s="275">
        <v>487.66</v>
      </c>
      <c r="R15" s="275">
        <v>454.09</v>
      </c>
      <c r="S15" s="273">
        <f>+R15/Q15</f>
        <v>0.9311610548332854</v>
      </c>
      <c r="T15" s="275">
        <f>(2520+668821.89+368122.8+2186.11)/1000</f>
        <v>1041.6508</v>
      </c>
      <c r="U15" s="275">
        <f>(368122.8+2463.55+577483.88+2186.11)/1000</f>
        <v>950.25634</v>
      </c>
      <c r="V15" s="273">
        <f>+U15/T15</f>
        <v>0.9122599819440451</v>
      </c>
      <c r="W15" s="275">
        <f>(475258.48+22304)/1000</f>
        <v>497.56248</v>
      </c>
      <c r="X15" s="275">
        <f>(445632.14+13790.13)/1000</f>
        <v>459.42227</v>
      </c>
      <c r="Y15" s="276">
        <f>+X15/W15</f>
        <v>0.9233458881385108</v>
      </c>
      <c r="Z15" s="277">
        <f>(2869.74+705985.84)/1000</f>
        <v>708.8555799999999</v>
      </c>
      <c r="AA15" s="277">
        <f>(2589.74+701326.04)/1000</f>
        <v>703.91578</v>
      </c>
      <c r="AB15" s="278">
        <f>AA15/Z15</f>
        <v>0.9930313026526505</v>
      </c>
      <c r="AC15" s="212">
        <f>489152.19/1000</f>
        <v>489.15219</v>
      </c>
      <c r="AD15" s="212">
        <f>(432213.25)/1000</f>
        <v>432.21325</v>
      </c>
      <c r="AE15" s="267">
        <f>AD15/AC15</f>
        <v>0.8835966777538091</v>
      </c>
      <c r="AF15" s="212"/>
      <c r="AG15" s="212"/>
      <c r="AH15" s="267"/>
      <c r="AI15" s="212"/>
      <c r="AJ15" s="267"/>
      <c r="AK15" s="212"/>
      <c r="AL15" s="212"/>
      <c r="AM15" s="267"/>
      <c r="AN15" s="212"/>
      <c r="AO15" s="267"/>
      <c r="AP15" s="212"/>
      <c r="AQ15" s="212"/>
      <c r="AR15" s="267"/>
      <c r="AS15" s="212"/>
      <c r="AT15" s="267"/>
      <c r="AU15" s="212"/>
      <c r="AV15" s="212"/>
      <c r="AW15" s="267"/>
      <c r="AX15" s="212"/>
      <c r="AY15" s="267"/>
    </row>
    <row r="16" spans="1:51" ht="15.75">
      <c r="A16" s="133" t="s">
        <v>520</v>
      </c>
      <c r="B16" s="57" t="s">
        <v>521</v>
      </c>
      <c r="C16" s="133">
        <v>213</v>
      </c>
      <c r="D16" s="133">
        <v>21300</v>
      </c>
      <c r="E16" s="211">
        <v>3025.53</v>
      </c>
      <c r="F16" s="211">
        <v>2910.46</v>
      </c>
      <c r="G16" s="267">
        <f>+F16/E16</f>
        <v>0.9619669942125841</v>
      </c>
      <c r="H16" s="211">
        <v>4604.08</v>
      </c>
      <c r="I16" s="211">
        <v>4274.77</v>
      </c>
      <c r="J16" s="267">
        <f>+I16/H16</f>
        <v>0.9284743097426631</v>
      </c>
      <c r="K16" s="212">
        <v>4571.74</v>
      </c>
      <c r="L16" s="212">
        <v>4366.38</v>
      </c>
      <c r="M16" s="267">
        <f>+L16/K16</f>
        <v>0.9550805601368407</v>
      </c>
      <c r="N16" s="212">
        <v>4841.48</v>
      </c>
      <c r="O16" s="212">
        <v>4771.86</v>
      </c>
      <c r="P16" s="267">
        <f>+O16/N16</f>
        <v>0.9856200996389534</v>
      </c>
      <c r="Q16" s="268">
        <f>5007.5+5.8+60.8</f>
        <v>5074.1</v>
      </c>
      <c r="R16" s="268">
        <v>5060.93</v>
      </c>
      <c r="S16" s="267">
        <f>+R16/Q16</f>
        <v>0.997404465816598</v>
      </c>
      <c r="T16" s="268">
        <f>(5150858)/1000</f>
        <v>5150.858</v>
      </c>
      <c r="U16" s="268">
        <f>5050461.15/1000</f>
        <v>5050.46115</v>
      </c>
      <c r="V16" s="267">
        <f>+U16/T16</f>
        <v>0.9805087133056279</v>
      </c>
      <c r="W16" s="268">
        <f>(5744300+6055.08+1238.71+92451.95)/1000</f>
        <v>5844.0457400000005</v>
      </c>
      <c r="X16" s="268">
        <f>(84623.67+6055.08+1228.95+5635532.72)/1000</f>
        <v>5727.44042</v>
      </c>
      <c r="Y16" s="269">
        <f>+X16/W16</f>
        <v>0.9800471582209074</v>
      </c>
      <c r="Z16" s="212">
        <f>(93358.92+6352.3+1408.95+5999279.83)/1000</f>
        <v>6100.4</v>
      </c>
      <c r="AA16" s="212">
        <f>(92468.28+6352.3+1240.93+5967037.66)/1000</f>
        <v>6067.0991699999995</v>
      </c>
      <c r="AB16" s="269">
        <f>AA16/Z16</f>
        <v>0.9945412054947216</v>
      </c>
      <c r="AC16" s="212">
        <f>(6425053.11)/1000</f>
        <v>6425.053110000001</v>
      </c>
      <c r="AD16" s="212">
        <f>6407643.2/1000</f>
        <v>6407.6432</v>
      </c>
      <c r="AE16" s="267">
        <f>AD16/AC16</f>
        <v>0.9972903087800312</v>
      </c>
      <c r="AF16" s="212">
        <f>6519671/1000</f>
        <v>6519.671</v>
      </c>
      <c r="AG16" s="212">
        <f>3276466.94/1000</f>
        <v>3276.46694</v>
      </c>
      <c r="AH16" s="267">
        <f>AG16/AF16</f>
        <v>0.502550963077738</v>
      </c>
      <c r="AI16" s="212">
        <f>6380465.32/1000</f>
        <v>6380.46532</v>
      </c>
      <c r="AJ16" s="267">
        <f>AI16/AF16</f>
        <v>0.9786483581763559</v>
      </c>
      <c r="AK16" s="212">
        <f>(6825012+1967.53+7553.42+95342+161702.61+68400)/1000</f>
        <v>7159.97756</v>
      </c>
      <c r="AL16" s="212">
        <f>3276466.94/1000</f>
        <v>3276.46694</v>
      </c>
      <c r="AM16" s="267">
        <f>AL16/AK16</f>
        <v>0.4576085487061219</v>
      </c>
      <c r="AN16" s="212">
        <f>(161702.61+95342+7553.42+1967.53+6749166.91)/1000</f>
        <v>7015.73247</v>
      </c>
      <c r="AO16" s="267">
        <f>AN16/AK16</f>
        <v>0.9798539745702778</v>
      </c>
      <c r="AP16" s="212">
        <f>(7425014.3)/1000</f>
        <v>7425.0143</v>
      </c>
      <c r="AQ16" s="212">
        <f>3276466.94/1000</f>
        <v>3276.46694</v>
      </c>
      <c r="AR16" s="267">
        <f>AQ16/AP16</f>
        <v>0.4412741588928657</v>
      </c>
      <c r="AS16" s="212">
        <f>(6916099.5+101138.79+248429.79)/1000</f>
        <v>7265.66808</v>
      </c>
      <c r="AT16" s="267">
        <f>AS16/AP16</f>
        <v>0.9785392709614041</v>
      </c>
      <c r="AU16" s="368">
        <f>7729248/1000</f>
        <v>7729.248</v>
      </c>
      <c r="AV16" s="212">
        <f>3276466.94/1000</f>
        <v>3276.46694</v>
      </c>
      <c r="AW16" s="267">
        <f>AV16/AU16</f>
        <v>0.42390500861144575</v>
      </c>
      <c r="AX16" s="368">
        <f>3909033.35/1000</f>
        <v>3909.03335</v>
      </c>
      <c r="AY16" s="267">
        <f>AX16/AU16</f>
        <v>0.5057456236363487</v>
      </c>
    </row>
    <row r="17" spans="1:51" ht="31.5">
      <c r="A17" s="133"/>
      <c r="B17" s="57" t="s">
        <v>522</v>
      </c>
      <c r="C17" s="133">
        <v>214</v>
      </c>
      <c r="D17" s="133">
        <v>214</v>
      </c>
      <c r="E17" s="211"/>
      <c r="F17" s="211"/>
      <c r="G17" s="267"/>
      <c r="H17" s="211"/>
      <c r="I17" s="211"/>
      <c r="J17" s="267"/>
      <c r="K17" s="212"/>
      <c r="L17" s="212"/>
      <c r="M17" s="267"/>
      <c r="N17" s="212"/>
      <c r="O17" s="212"/>
      <c r="P17" s="267"/>
      <c r="Q17" s="268"/>
      <c r="R17" s="268"/>
      <c r="S17" s="267"/>
      <c r="T17" s="268"/>
      <c r="U17" s="268"/>
      <c r="V17" s="267"/>
      <c r="W17" s="268"/>
      <c r="X17" s="268"/>
      <c r="Y17" s="269"/>
      <c r="Z17" s="212"/>
      <c r="AA17" s="212"/>
      <c r="AB17" s="269"/>
      <c r="AC17" s="212"/>
      <c r="AD17" s="212"/>
      <c r="AE17" s="267"/>
      <c r="AF17" s="212">
        <v>732.1</v>
      </c>
      <c r="AG17" s="212">
        <f>363575.3/1000</f>
        <v>363.57529999999997</v>
      </c>
      <c r="AH17" s="267">
        <f>AG17/AF17</f>
        <v>0.4966197240814096</v>
      </c>
      <c r="AI17" s="212">
        <v>557.39</v>
      </c>
      <c r="AJ17" s="267">
        <f>AI17/AF17</f>
        <v>0.7613577380139325</v>
      </c>
      <c r="AK17" s="212">
        <f>761400/1000</f>
        <v>761.4</v>
      </c>
      <c r="AL17" s="212">
        <f>363575.3/1000</f>
        <v>363.57529999999997</v>
      </c>
      <c r="AM17" s="267">
        <f>AL17/AK17</f>
        <v>0.4775089309167323</v>
      </c>
      <c r="AN17" s="212">
        <f>486315.85/1000</f>
        <v>486.31584999999995</v>
      </c>
      <c r="AO17" s="267">
        <f>AN17/AK17</f>
        <v>0.6387127002889413</v>
      </c>
      <c r="AP17" s="212">
        <f>803100/1000</f>
        <v>803.1</v>
      </c>
      <c r="AQ17" s="212">
        <f>363575.3/1000</f>
        <v>363.57529999999997</v>
      </c>
      <c r="AR17" s="267">
        <f>AQ17/AP17</f>
        <v>0.4527148549371186</v>
      </c>
      <c r="AS17" s="212">
        <f>728340.22/1000</f>
        <v>728.3402199999999</v>
      </c>
      <c r="AT17" s="267">
        <f>AS17/AP17</f>
        <v>0.9069109948947826</v>
      </c>
      <c r="AU17" s="368">
        <f>764694.45/1000</f>
        <v>764.69445</v>
      </c>
      <c r="AV17" s="368">
        <f>363575.3/1000</f>
        <v>363.57529999999997</v>
      </c>
      <c r="AW17" s="369">
        <f>AV17/AU17</f>
        <v>0.4754517310803027</v>
      </c>
      <c r="AX17" s="368">
        <f>500838.74/1000</f>
        <v>500.83874</v>
      </c>
      <c r="AY17" s="267">
        <f>AX17/AU17</f>
        <v>0.6549527592360582</v>
      </c>
    </row>
    <row r="18" spans="1:51" ht="15.75">
      <c r="A18" s="133"/>
      <c r="B18" s="57"/>
      <c r="C18" s="133"/>
      <c r="D18" s="133"/>
      <c r="E18" s="211"/>
      <c r="F18" s="211"/>
      <c r="G18" s="267"/>
      <c r="H18" s="211"/>
      <c r="I18" s="211"/>
      <c r="J18" s="267"/>
      <c r="K18" s="212"/>
      <c r="L18" s="212"/>
      <c r="M18" s="267"/>
      <c r="N18" s="212"/>
      <c r="O18" s="212"/>
      <c r="P18" s="267"/>
      <c r="Q18" s="268"/>
      <c r="R18" s="268"/>
      <c r="S18" s="267"/>
      <c r="T18" s="268"/>
      <c r="U18" s="268"/>
      <c r="V18" s="267"/>
      <c r="W18" s="268"/>
      <c r="X18" s="268"/>
      <c r="Y18" s="269"/>
      <c r="Z18" s="212"/>
      <c r="AA18" s="212"/>
      <c r="AB18" s="269"/>
      <c r="AC18" s="212"/>
      <c r="AD18" s="212"/>
      <c r="AE18" s="267"/>
      <c r="AF18" s="212"/>
      <c r="AG18" s="212"/>
      <c r="AH18" s="267"/>
      <c r="AI18" s="212"/>
      <c r="AJ18" s="267"/>
      <c r="AK18" s="212"/>
      <c r="AL18" s="212"/>
      <c r="AM18" s="267"/>
      <c r="AN18" s="212"/>
      <c r="AO18" s="267"/>
      <c r="AP18" s="212"/>
      <c r="AQ18" s="212"/>
      <c r="AR18" s="267"/>
      <c r="AS18" s="212"/>
      <c r="AT18" s="267"/>
      <c r="AU18" s="212"/>
      <c r="AV18" s="212"/>
      <c r="AW18" s="267"/>
      <c r="AX18" s="212"/>
      <c r="AY18" s="267"/>
    </row>
    <row r="19" spans="1:51" ht="15.75">
      <c r="A19" s="185" t="s">
        <v>523</v>
      </c>
      <c r="B19" s="258" t="s">
        <v>524</v>
      </c>
      <c r="C19" s="185">
        <v>220</v>
      </c>
      <c r="D19" s="185">
        <v>22000</v>
      </c>
      <c r="E19" s="279">
        <f>E20+E21+E24+E26+E33</f>
        <v>4019.9300000000003</v>
      </c>
      <c r="F19" s="279">
        <f>F20+F21+F24+F26+F33</f>
        <v>3261.69</v>
      </c>
      <c r="G19" s="260">
        <f aca="true" t="shared" si="5" ref="G19:G24">+F19/E19</f>
        <v>0.8113798001457736</v>
      </c>
      <c r="H19" s="279">
        <f>H20+H21+H24+H26+H33</f>
        <v>3496.73</v>
      </c>
      <c r="I19" s="279">
        <f>I20+I21+I24+I26+I33</f>
        <v>2596.33</v>
      </c>
      <c r="J19" s="260">
        <f>+I19/H19</f>
        <v>0.7425022807022561</v>
      </c>
      <c r="K19" s="279">
        <f>K20+K21+K24+K26+K33</f>
        <v>3007.9399999999996</v>
      </c>
      <c r="L19" s="279">
        <f>L20+L21+L24+L26+L33</f>
        <v>2794.41</v>
      </c>
      <c r="M19" s="260">
        <f>+L19/K19</f>
        <v>0.9290112169790622</v>
      </c>
      <c r="N19" s="279">
        <f>N20+N21+N24+N26+N33</f>
        <v>3493.99</v>
      </c>
      <c r="O19" s="279">
        <f>O20+O21+O24+O26+O33</f>
        <v>3220.75</v>
      </c>
      <c r="P19" s="260">
        <f aca="true" t="shared" si="6" ref="P19:P24">+O19/N19</f>
        <v>0.9217971430942848</v>
      </c>
      <c r="Q19" s="279">
        <f>Q20+Q21+Q24+Q26+Q33</f>
        <v>3354.8500000000004</v>
      </c>
      <c r="R19" s="279">
        <f>R20+R21+R24+R26+R33</f>
        <v>2995.1873800000003</v>
      </c>
      <c r="S19" s="260">
        <f aca="true" t="shared" si="7" ref="S19:S24">+R19/Q19</f>
        <v>0.8927932336766174</v>
      </c>
      <c r="T19" s="279">
        <f>T20+T21+T24+T26+T33</f>
        <v>3208.51283</v>
      </c>
      <c r="U19" s="279">
        <f>U20+U21+U24+U26+U33</f>
        <v>2870.3601099999996</v>
      </c>
      <c r="V19" s="260">
        <f>+U19/T19</f>
        <v>0.8946076459977875</v>
      </c>
      <c r="W19" s="279">
        <f>W20+W21+W24+W26+W33</f>
        <v>3583.46387</v>
      </c>
      <c r="X19" s="279">
        <f>X20+X21+X24+X26+X33</f>
        <v>3417.03415</v>
      </c>
      <c r="Y19" s="261">
        <f>+X19/W19</f>
        <v>0.9535561886382296</v>
      </c>
      <c r="Z19" s="279">
        <f>Z20+Z21+Z24+Z26+Z33</f>
        <v>3388.29675</v>
      </c>
      <c r="AA19" s="279">
        <f>AA20+AA21+AA24+AA26+AA33</f>
        <v>3251.14872</v>
      </c>
      <c r="AB19" s="261">
        <f>+AA19/Z19</f>
        <v>0.9595230169848612</v>
      </c>
      <c r="AC19" s="259">
        <f>AC20+AC21+AC24+AC26+AC33</f>
        <v>4467.99515</v>
      </c>
      <c r="AD19" s="259">
        <f>AD20+AD21+AD24+AD26+AD33</f>
        <v>4327.66904</v>
      </c>
      <c r="AE19" s="262">
        <f>AD19/AC19</f>
        <v>0.9685930478236978</v>
      </c>
      <c r="AF19" s="259">
        <f>AF20+AF21+AF24+AF26+AF33+AF41+AF42</f>
        <v>5607.33588</v>
      </c>
      <c r="AG19" s="259">
        <f>AG20+AG21+AG24+AG26+AG33+AG41</f>
        <v>1611.21919</v>
      </c>
      <c r="AH19" s="262">
        <f>AG19/AF19</f>
        <v>0.28734130155228016</v>
      </c>
      <c r="AI19" s="259">
        <f>AI20+AI21+AI24+AI26+AI33+AI41+AI42</f>
        <v>5550.36086</v>
      </c>
      <c r="AJ19" s="262">
        <f>+AI19/AF19</f>
        <v>0.9898391997163545</v>
      </c>
      <c r="AK19" s="259">
        <f>AK20+AK21+AK24+AK26+AK33+AK41+AK42</f>
        <v>3510.42449</v>
      </c>
      <c r="AL19" s="259">
        <f>AL20+AL21+AL24+AL26+AL33+AL41</f>
        <v>1611.21919</v>
      </c>
      <c r="AM19" s="262">
        <f>AL19/AK19</f>
        <v>0.4589812982987707</v>
      </c>
      <c r="AN19" s="259">
        <f>AN20+AN21+AN24+AN26+AN33+AN41+AN42</f>
        <v>3445.3864599999997</v>
      </c>
      <c r="AO19" s="262">
        <f>+AN19/AK19</f>
        <v>0.9814728873430346</v>
      </c>
      <c r="AP19" s="259">
        <f>AP20+AP21+AP24+AP26+AP33+AP41+AP42</f>
        <v>4419.989001000001</v>
      </c>
      <c r="AQ19" s="259">
        <f>AQ20+AQ21+AQ24+AQ26+AQ33+AQ41</f>
        <v>1611.21919</v>
      </c>
      <c r="AR19" s="262">
        <f>AQ19/AP19</f>
        <v>0.3645301356260094</v>
      </c>
      <c r="AS19" s="259">
        <f>AS20+AS21+AS24+AS26+AS33+AS41+AS42</f>
        <v>4167.5497000000005</v>
      </c>
      <c r="AT19" s="262">
        <f>+AS19/AP19</f>
        <v>0.9428868938490826</v>
      </c>
      <c r="AU19" s="259">
        <f>AU20+AU21+AU24+AU26+AU33+AU41+AU42</f>
        <v>8457.90003</v>
      </c>
      <c r="AV19" s="259">
        <f>AV20+AV21+AV24+AV26+AV33+AV41</f>
        <v>1611.21919</v>
      </c>
      <c r="AW19" s="262">
        <f>AV19/AU19</f>
        <v>0.19049872714090235</v>
      </c>
      <c r="AX19" s="259">
        <f>AX20+AX21+AX24+AX26+AX33+AX41+AX42</f>
        <v>2786.7926899999998</v>
      </c>
      <c r="AY19" s="262">
        <f>+AX19/AU19</f>
        <v>0.32948990649159987</v>
      </c>
    </row>
    <row r="20" spans="1:51" ht="15.75">
      <c r="A20" s="133" t="s">
        <v>525</v>
      </c>
      <c r="B20" s="57" t="s">
        <v>526</v>
      </c>
      <c r="C20" s="133">
        <v>221</v>
      </c>
      <c r="D20" s="133">
        <v>22100</v>
      </c>
      <c r="E20" s="266">
        <v>1015.24</v>
      </c>
      <c r="F20" s="266">
        <v>601.87</v>
      </c>
      <c r="G20" s="264">
        <f t="shared" si="5"/>
        <v>0.5928351916788148</v>
      </c>
      <c r="H20" s="266">
        <v>1410.23</v>
      </c>
      <c r="I20" s="266">
        <v>586.01</v>
      </c>
      <c r="J20" s="264">
        <f>+I20/H20</f>
        <v>0.4155421456074541</v>
      </c>
      <c r="K20" s="266">
        <v>680.06</v>
      </c>
      <c r="L20" s="266">
        <v>595.28</v>
      </c>
      <c r="M20" s="264">
        <f>+L20/K20</f>
        <v>0.8753345293062377</v>
      </c>
      <c r="N20" s="266">
        <v>680.29</v>
      </c>
      <c r="O20" s="266">
        <v>650.37</v>
      </c>
      <c r="P20" s="264">
        <f t="shared" si="6"/>
        <v>0.9560187567066987</v>
      </c>
      <c r="Q20" s="266">
        <f>729.02</f>
        <v>729.02</v>
      </c>
      <c r="R20" s="266">
        <v>595.81738</v>
      </c>
      <c r="S20" s="264">
        <f t="shared" si="7"/>
        <v>0.8172853694000164</v>
      </c>
      <c r="T20" s="266">
        <f>(692988.7)/1000</f>
        <v>692.9887</v>
      </c>
      <c r="U20" s="266">
        <f>(653430.68)/1000</f>
        <v>653.43068</v>
      </c>
      <c r="V20" s="264">
        <f>+U20/T20</f>
        <v>0.9429167892636634</v>
      </c>
      <c r="W20" s="266">
        <f>(678316.14)/1000</f>
        <v>678.31614</v>
      </c>
      <c r="X20" s="266">
        <f>(617090.54)/1000</f>
        <v>617.09054</v>
      </c>
      <c r="Y20" s="265">
        <f>+X20/W20</f>
        <v>0.9097388424223549</v>
      </c>
      <c r="Z20" s="266">
        <f>(490689.02+39300+13300+1191+40+390+108+389.4+391+3593.35+7018+54+29100+55000)/1000</f>
        <v>640.56377</v>
      </c>
      <c r="AA20" s="266">
        <f>(489017.25+39300+12610.78+1108.11+31.34+360.04+106.2+389.4+324.83+2543.35+5470.32+46.02+27895.13+42697.17)/1000</f>
        <v>621.8999399999999</v>
      </c>
      <c r="AB20" s="265">
        <f>AA20/Z20</f>
        <v>0.9708634317548117</v>
      </c>
      <c r="AC20" s="266">
        <f>(659141)/1000</f>
        <v>659.141</v>
      </c>
      <c r="AD20" s="212">
        <f>(630939.83)/1000</f>
        <v>630.9398299999999</v>
      </c>
      <c r="AE20" s="267">
        <f>AD20/AC20</f>
        <v>0.957215269570547</v>
      </c>
      <c r="AF20" s="212">
        <v>684.33</v>
      </c>
      <c r="AG20" s="212">
        <f>(306324.85)/1000</f>
        <v>306.32484999999997</v>
      </c>
      <c r="AH20" s="267">
        <f>AG20/AF20</f>
        <v>0.44762738737158964</v>
      </c>
      <c r="AI20" s="212">
        <v>675.376</v>
      </c>
      <c r="AJ20" s="267">
        <f>+AI20/AF20</f>
        <v>0.986915669340815</v>
      </c>
      <c r="AK20" s="212">
        <f>775670.39/1000</f>
        <v>775.67039</v>
      </c>
      <c r="AL20" s="212">
        <f>(306324.85)/1000</f>
        <v>306.32484999999997</v>
      </c>
      <c r="AM20" s="267">
        <f>AL20/AK20</f>
        <v>0.39491626075864517</v>
      </c>
      <c r="AN20" s="212">
        <f>763560.37/1000</f>
        <v>763.56037</v>
      </c>
      <c r="AO20" s="267">
        <f>+AN20/AK20</f>
        <v>0.9843876727072178</v>
      </c>
      <c r="AP20" s="212">
        <f>835755.81/1000</f>
        <v>835.7558100000001</v>
      </c>
      <c r="AQ20" s="212">
        <f>(306324.85)/1000</f>
        <v>306.32484999999997</v>
      </c>
      <c r="AR20" s="267">
        <f>AQ20/AP20</f>
        <v>0.366524343994689</v>
      </c>
      <c r="AS20" s="212">
        <f>800525.26/1000</f>
        <v>800.52526</v>
      </c>
      <c r="AT20" s="267">
        <f>+AS20/AP20</f>
        <v>0.9578458808440709</v>
      </c>
      <c r="AU20" s="368">
        <f>759575/1000</f>
        <v>759.575</v>
      </c>
      <c r="AV20" s="212">
        <f>(306324.85)/1000</f>
        <v>306.32484999999997</v>
      </c>
      <c r="AW20" s="267">
        <f>AV20/AU20</f>
        <v>0.40328453411447185</v>
      </c>
      <c r="AX20" s="368">
        <f>392037.85/1000</f>
        <v>392.03785</v>
      </c>
      <c r="AY20" s="267">
        <f>+AX20/AU20</f>
        <v>0.5161279004706579</v>
      </c>
    </row>
    <row r="21" spans="1:51" ht="15.75">
      <c r="A21" s="133" t="s">
        <v>527</v>
      </c>
      <c r="B21" s="57" t="s">
        <v>528</v>
      </c>
      <c r="C21" s="133">
        <v>222</v>
      </c>
      <c r="D21" s="133">
        <v>22200</v>
      </c>
      <c r="E21" s="263">
        <f>SUM(E22:E23)</f>
        <v>31.13</v>
      </c>
      <c r="F21" s="263">
        <f>SUM(F22:F23)</f>
        <v>30.4</v>
      </c>
      <c r="G21" s="264">
        <f t="shared" si="5"/>
        <v>0.9765499518149695</v>
      </c>
      <c r="H21" s="263">
        <f>SUM(H22:H23)</f>
        <v>0</v>
      </c>
      <c r="I21" s="263">
        <f>SUM(I22:I23)</f>
        <v>0</v>
      </c>
      <c r="J21" s="264"/>
      <c r="K21" s="263">
        <f>SUM(K22:K23)</f>
        <v>21.91</v>
      </c>
      <c r="L21" s="263">
        <f>SUM(L22:L23)</f>
        <v>21.91</v>
      </c>
      <c r="M21" s="264">
        <f>+L21/K21</f>
        <v>1</v>
      </c>
      <c r="N21" s="263">
        <f>SUM(N22:N23)</f>
        <v>30.41</v>
      </c>
      <c r="O21" s="263">
        <f>SUM(O22:O23)</f>
        <v>30.41</v>
      </c>
      <c r="P21" s="264">
        <f t="shared" si="6"/>
        <v>1</v>
      </c>
      <c r="Q21" s="263">
        <f>SUM(Q22:Q23)</f>
        <v>39.5</v>
      </c>
      <c r="R21" s="263">
        <f>SUM(R22:R23)</f>
        <v>39.5</v>
      </c>
      <c r="S21" s="264">
        <f t="shared" si="7"/>
        <v>1</v>
      </c>
      <c r="T21" s="263">
        <f>SUM(T22:T23)</f>
        <v>30.5</v>
      </c>
      <c r="U21" s="263">
        <f>SUM(U22:U23)</f>
        <v>30.5</v>
      </c>
      <c r="V21" s="264">
        <f>+U21/T21</f>
        <v>1</v>
      </c>
      <c r="W21" s="263">
        <f>SUM(W22:W23)</f>
        <v>29.233</v>
      </c>
      <c r="X21" s="263">
        <f>SUM(X22:X23)</f>
        <v>29.233</v>
      </c>
      <c r="Y21" s="265">
        <f>+X21/W21</f>
        <v>1</v>
      </c>
      <c r="Z21" s="266">
        <f>Z22+Z23</f>
        <v>43.8495</v>
      </c>
      <c r="AA21" s="266">
        <f>AA22+AA23</f>
        <v>43.8495</v>
      </c>
      <c r="AB21" s="269">
        <f>AA21/Z21</f>
        <v>1</v>
      </c>
      <c r="AC21" s="266">
        <f>AC22+AC23</f>
        <v>37.61906</v>
      </c>
      <c r="AD21" s="266">
        <f>AD22+AD23</f>
        <v>37.61906</v>
      </c>
      <c r="AE21" s="267">
        <f>AD21/AC21</f>
        <v>1</v>
      </c>
      <c r="AF21" s="266">
        <f>AF22+AF23</f>
        <v>16.14406</v>
      </c>
      <c r="AG21" s="266">
        <f>AG22+AG23</f>
        <v>10.844059999999999</v>
      </c>
      <c r="AH21" s="267">
        <f>AG21/AF21</f>
        <v>0.6717058781991643</v>
      </c>
      <c r="AI21" s="266">
        <f>AI22+AI23</f>
        <v>16.14406</v>
      </c>
      <c r="AJ21" s="267">
        <f>+AI21/AF21</f>
        <v>1</v>
      </c>
      <c r="AK21" s="266">
        <f>AK22+AK23</f>
        <v>19.939439999999998</v>
      </c>
      <c r="AL21" s="266">
        <f>AL22+AL23</f>
        <v>10.844059999999999</v>
      </c>
      <c r="AM21" s="267">
        <f>AL21/AK21</f>
        <v>0.5438497771251349</v>
      </c>
      <c r="AN21" s="266">
        <f>AN22+AN23</f>
        <v>19.939439999999998</v>
      </c>
      <c r="AO21" s="267">
        <f>+AN21/AK21</f>
        <v>1</v>
      </c>
      <c r="AP21" s="266">
        <f>AP22+AP23</f>
        <v>1.54</v>
      </c>
      <c r="AQ21" s="266">
        <f>AQ22+AQ23</f>
        <v>10.844059999999999</v>
      </c>
      <c r="AR21" s="267">
        <f>AQ21/AP21</f>
        <v>7.041597402597402</v>
      </c>
      <c r="AS21" s="266">
        <f>AS22+AS23</f>
        <v>1.54</v>
      </c>
      <c r="AT21" s="267">
        <f>+AS21/AP21</f>
        <v>1</v>
      </c>
      <c r="AU21" s="266">
        <f>AU22+AU23</f>
        <v>0</v>
      </c>
      <c r="AV21" s="266">
        <f>AV22+AV23</f>
        <v>10.844059999999999</v>
      </c>
      <c r="AW21" s="267" t="e">
        <f>AV21/AU21</f>
        <v>#DIV/0!</v>
      </c>
      <c r="AX21" s="266">
        <f>AX22+AX23</f>
        <v>0</v>
      </c>
      <c r="AY21" s="267" t="e">
        <f>+AX21/AU21</f>
        <v>#DIV/0!</v>
      </c>
    </row>
    <row r="22" spans="1:51" ht="15.75">
      <c r="A22" s="146" t="s">
        <v>529</v>
      </c>
      <c r="B22" s="38" t="s">
        <v>512</v>
      </c>
      <c r="C22" s="146"/>
      <c r="D22" s="146" t="s">
        <v>530</v>
      </c>
      <c r="E22" s="272">
        <v>1</v>
      </c>
      <c r="F22" s="272">
        <v>1</v>
      </c>
      <c r="G22" s="273">
        <f t="shared" si="5"/>
        <v>1</v>
      </c>
      <c r="H22" s="272">
        <v>0</v>
      </c>
      <c r="I22" s="272">
        <v>0</v>
      </c>
      <c r="J22" s="273"/>
      <c r="K22" s="274">
        <v>0</v>
      </c>
      <c r="L22" s="274">
        <v>0</v>
      </c>
      <c r="M22" s="273"/>
      <c r="N22" s="274">
        <v>12</v>
      </c>
      <c r="O22" s="274">
        <v>12</v>
      </c>
      <c r="P22" s="273">
        <f t="shared" si="6"/>
        <v>1</v>
      </c>
      <c r="Q22" s="274">
        <v>1</v>
      </c>
      <c r="R22" s="274">
        <v>1</v>
      </c>
      <c r="S22" s="273">
        <f t="shared" si="7"/>
        <v>1</v>
      </c>
      <c r="T22" s="274">
        <v>0</v>
      </c>
      <c r="U22" s="274">
        <v>0</v>
      </c>
      <c r="V22" s="273"/>
      <c r="W22" s="274">
        <v>0</v>
      </c>
      <c r="X22" s="274">
        <v>0</v>
      </c>
      <c r="Y22" s="276"/>
      <c r="Z22" s="277">
        <v>0</v>
      </c>
      <c r="AA22" s="277">
        <v>0</v>
      </c>
      <c r="AB22" s="280"/>
      <c r="AC22" s="212"/>
      <c r="AD22" s="212"/>
      <c r="AE22" s="267"/>
      <c r="AF22" s="212"/>
      <c r="AG22" s="212"/>
      <c r="AH22" s="267"/>
      <c r="AI22" s="212"/>
      <c r="AJ22" s="267"/>
      <c r="AK22" s="212"/>
      <c r="AL22" s="212"/>
      <c r="AM22" s="267"/>
      <c r="AN22" s="212"/>
      <c r="AO22" s="267"/>
      <c r="AP22" s="212"/>
      <c r="AQ22" s="212"/>
      <c r="AR22" s="267"/>
      <c r="AS22" s="212"/>
      <c r="AT22" s="267"/>
      <c r="AU22" s="212"/>
      <c r="AV22" s="212"/>
      <c r="AW22" s="267"/>
      <c r="AX22" s="212"/>
      <c r="AY22" s="267"/>
    </row>
    <row r="23" spans="1:51" ht="31.5">
      <c r="A23" s="146" t="s">
        <v>531</v>
      </c>
      <c r="B23" s="38" t="s">
        <v>532</v>
      </c>
      <c r="C23" s="146"/>
      <c r="D23" s="146" t="s">
        <v>533</v>
      </c>
      <c r="E23" s="272">
        <v>30.13</v>
      </c>
      <c r="F23" s="272">
        <v>29.4</v>
      </c>
      <c r="G23" s="273">
        <f t="shared" si="5"/>
        <v>0.9757716561566545</v>
      </c>
      <c r="H23" s="272">
        <v>0</v>
      </c>
      <c r="I23" s="272">
        <v>0</v>
      </c>
      <c r="J23" s="273"/>
      <c r="K23" s="274">
        <v>21.91</v>
      </c>
      <c r="L23" s="274">
        <v>21.91</v>
      </c>
      <c r="M23" s="273">
        <f>+L23/K23</f>
        <v>1</v>
      </c>
      <c r="N23" s="274">
        <v>18.41</v>
      </c>
      <c r="O23" s="274">
        <v>18.41</v>
      </c>
      <c r="P23" s="273">
        <f t="shared" si="6"/>
        <v>1</v>
      </c>
      <c r="Q23" s="274">
        <v>38.5</v>
      </c>
      <c r="R23" s="274">
        <v>38.5</v>
      </c>
      <c r="S23" s="273">
        <f t="shared" si="7"/>
        <v>1</v>
      </c>
      <c r="T23" s="274">
        <f>30500/1000</f>
        <v>30.5</v>
      </c>
      <c r="U23" s="274">
        <f>30500/1000</f>
        <v>30.5</v>
      </c>
      <c r="V23" s="273">
        <f>+U23/T23</f>
        <v>1</v>
      </c>
      <c r="W23" s="274">
        <f>29233/1000</f>
        <v>29.233</v>
      </c>
      <c r="X23" s="274">
        <f>29233/1000</f>
        <v>29.233</v>
      </c>
      <c r="Y23" s="276">
        <f>+X23/W23</f>
        <v>1</v>
      </c>
      <c r="Z23" s="277">
        <f>43849.5/1000</f>
        <v>43.8495</v>
      </c>
      <c r="AA23" s="277">
        <f>43849.5/1000</f>
        <v>43.8495</v>
      </c>
      <c r="AB23" s="278">
        <f>AA23/Z23</f>
        <v>1</v>
      </c>
      <c r="AC23" s="212">
        <f>37619.06/1000</f>
        <v>37.61906</v>
      </c>
      <c r="AD23" s="212">
        <f>37619.06/1000</f>
        <v>37.61906</v>
      </c>
      <c r="AE23" s="267">
        <f>AD23/AC23</f>
        <v>1</v>
      </c>
      <c r="AF23" s="212">
        <f>16144.06/1000</f>
        <v>16.14406</v>
      </c>
      <c r="AG23" s="212">
        <f>10844.06/1000</f>
        <v>10.844059999999999</v>
      </c>
      <c r="AH23" s="267">
        <f>AG23/AF23</f>
        <v>0.6717058781991643</v>
      </c>
      <c r="AI23" s="212">
        <f>16144.06/1000</f>
        <v>16.14406</v>
      </c>
      <c r="AJ23" s="267">
        <f>+AI23/AF23</f>
        <v>1</v>
      </c>
      <c r="AK23" s="212">
        <f>19939.44/1000</f>
        <v>19.939439999999998</v>
      </c>
      <c r="AL23" s="212">
        <f>10844.06/1000</f>
        <v>10.844059999999999</v>
      </c>
      <c r="AM23" s="267">
        <f>AL23/AK23</f>
        <v>0.5438497771251349</v>
      </c>
      <c r="AN23" s="212">
        <f>19939.44/1000</f>
        <v>19.939439999999998</v>
      </c>
      <c r="AO23" s="267">
        <f>+AN23/AK23</f>
        <v>1</v>
      </c>
      <c r="AP23" s="212">
        <f>1540/1000</f>
        <v>1.54</v>
      </c>
      <c r="AQ23" s="212">
        <f>10844.06/1000</f>
        <v>10.844059999999999</v>
      </c>
      <c r="AR23" s="267">
        <f>AQ23/AP23</f>
        <v>7.041597402597402</v>
      </c>
      <c r="AS23" s="212">
        <f>1540/1000</f>
        <v>1.54</v>
      </c>
      <c r="AT23" s="267">
        <f>+AS23/AP23</f>
        <v>1</v>
      </c>
      <c r="AU23" s="368">
        <v>0</v>
      </c>
      <c r="AV23" s="368">
        <f>10844.06/1000</f>
        <v>10.844059999999999</v>
      </c>
      <c r="AW23" s="369" t="e">
        <f>AV23/AU23</f>
        <v>#DIV/0!</v>
      </c>
      <c r="AX23" s="368">
        <v>0</v>
      </c>
      <c r="AY23" s="267" t="e">
        <f>+AX23/AU23</f>
        <v>#DIV/0!</v>
      </c>
    </row>
    <row r="24" spans="1:51" ht="15.75">
      <c r="A24" s="133" t="s">
        <v>534</v>
      </c>
      <c r="B24" s="57" t="s">
        <v>535</v>
      </c>
      <c r="C24" s="133">
        <v>223</v>
      </c>
      <c r="D24" s="133">
        <v>22300</v>
      </c>
      <c r="E24" s="263">
        <v>538.5</v>
      </c>
      <c r="F24" s="263">
        <v>528.38</v>
      </c>
      <c r="G24" s="264">
        <f t="shared" si="5"/>
        <v>0.9812070566388115</v>
      </c>
      <c r="H24" s="263">
        <v>573.17</v>
      </c>
      <c r="I24" s="263">
        <v>541.38</v>
      </c>
      <c r="J24" s="264">
        <f>+I24/H24</f>
        <v>0.9445365249402446</v>
      </c>
      <c r="K24" s="266">
        <v>587.7</v>
      </c>
      <c r="L24" s="266">
        <v>572.02</v>
      </c>
      <c r="M24" s="264">
        <f>+L24/K24</f>
        <v>0.9733197209460608</v>
      </c>
      <c r="N24" s="266">
        <v>632.05</v>
      </c>
      <c r="O24" s="266">
        <v>565.8</v>
      </c>
      <c r="P24" s="264">
        <f t="shared" si="6"/>
        <v>0.8951823431690531</v>
      </c>
      <c r="Q24" s="266">
        <v>709.2</v>
      </c>
      <c r="R24" s="266">
        <v>545.6</v>
      </c>
      <c r="S24" s="264">
        <f t="shared" si="7"/>
        <v>0.7693175408911449</v>
      </c>
      <c r="T24" s="266">
        <f>758682.08/1000</f>
        <v>758.6820799999999</v>
      </c>
      <c r="U24" s="266">
        <f>540246.56/1000</f>
        <v>540.24656</v>
      </c>
      <c r="V24" s="264">
        <f>+U24/T24</f>
        <v>0.7120855681736942</v>
      </c>
      <c r="W24" s="266">
        <f>824334.09/1000</f>
        <v>824.33409</v>
      </c>
      <c r="X24" s="266">
        <f>804951.32/1000</f>
        <v>804.9513199999999</v>
      </c>
      <c r="Y24" s="265">
        <f>+X24/W24</f>
        <v>0.9764867542964285</v>
      </c>
      <c r="Z24" s="266">
        <f>751656.05/1000</f>
        <v>751.65605</v>
      </c>
      <c r="AA24" s="266">
        <f>747899.6/1000</f>
        <v>747.8996</v>
      </c>
      <c r="AB24" s="265">
        <f>AA24/Z24</f>
        <v>0.9950024349567863</v>
      </c>
      <c r="AC24" s="266">
        <f>(862450.97)/1000</f>
        <v>862.45097</v>
      </c>
      <c r="AD24" s="266">
        <f>(776720.69)/1000</f>
        <v>776.72069</v>
      </c>
      <c r="AE24" s="267">
        <f>AD24/AC24</f>
        <v>0.900596923208284</v>
      </c>
      <c r="AF24" s="266">
        <f>(905535.6)/1000</f>
        <v>905.5355999999999</v>
      </c>
      <c r="AG24" s="266">
        <f>(419071.63)/1000</f>
        <v>419.07163</v>
      </c>
      <c r="AH24" s="267">
        <f>AG24/AF24</f>
        <v>0.4627886855028119</v>
      </c>
      <c r="AI24" s="266">
        <f>886916.7/1000</f>
        <v>886.9167</v>
      </c>
      <c r="AJ24" s="267">
        <f>+AI24/AF24</f>
        <v>0.9794387984304538</v>
      </c>
      <c r="AK24" s="266">
        <f>847430.51/1000</f>
        <v>847.43051</v>
      </c>
      <c r="AL24" s="266">
        <f>(419071.63)/1000</f>
        <v>419.07163</v>
      </c>
      <c r="AM24" s="267">
        <f>AL24/AK24</f>
        <v>0.49452034716097254</v>
      </c>
      <c r="AN24" s="266">
        <f>814596.92/1000</f>
        <v>814.5969200000001</v>
      </c>
      <c r="AO24" s="267">
        <f>+AN24/AK24</f>
        <v>0.9612551240337099</v>
      </c>
      <c r="AP24" s="266">
        <f>919950.691/1000</f>
        <v>919.950691</v>
      </c>
      <c r="AQ24" s="266">
        <f>(419071.63)/1000</f>
        <v>419.07163</v>
      </c>
      <c r="AR24" s="267">
        <f>AQ24/AP24</f>
        <v>0.45553705660513494</v>
      </c>
      <c r="AS24" s="266">
        <f>742692.52/1000</f>
        <v>742.6925200000001</v>
      </c>
      <c r="AT24" s="267">
        <f>+AS24/AP24</f>
        <v>0.807317747859597</v>
      </c>
      <c r="AU24" s="370">
        <f>1000609.5/1000</f>
        <v>1000.6095</v>
      </c>
      <c r="AV24" s="266">
        <f>(419071.63)/1000</f>
        <v>419.07163</v>
      </c>
      <c r="AW24" s="267">
        <f>AV24/AU24</f>
        <v>0.41881636142770984</v>
      </c>
      <c r="AX24" s="370">
        <f>550849.7/1000</f>
        <v>550.8497</v>
      </c>
      <c r="AY24" s="267">
        <f>+AX24/AU24</f>
        <v>0.5505141616184935</v>
      </c>
    </row>
    <row r="25" spans="1:51" ht="31.5">
      <c r="A25" s="133" t="s">
        <v>536</v>
      </c>
      <c r="B25" s="57" t="s">
        <v>537</v>
      </c>
      <c r="C25" s="133">
        <v>224</v>
      </c>
      <c r="D25" s="133">
        <v>22400</v>
      </c>
      <c r="E25" s="263">
        <v>0</v>
      </c>
      <c r="F25" s="263">
        <v>0</v>
      </c>
      <c r="G25" s="264"/>
      <c r="H25" s="263">
        <v>0</v>
      </c>
      <c r="I25" s="263">
        <v>0</v>
      </c>
      <c r="J25" s="264"/>
      <c r="K25" s="266">
        <v>0</v>
      </c>
      <c r="L25" s="266">
        <v>0</v>
      </c>
      <c r="M25" s="264"/>
      <c r="N25" s="266">
        <v>0</v>
      </c>
      <c r="O25" s="266">
        <v>0</v>
      </c>
      <c r="P25" s="264"/>
      <c r="Q25" s="266"/>
      <c r="R25" s="266"/>
      <c r="S25" s="264"/>
      <c r="T25" s="266"/>
      <c r="U25" s="266"/>
      <c r="V25" s="264"/>
      <c r="W25" s="266"/>
      <c r="X25" s="266"/>
      <c r="Y25" s="265"/>
      <c r="Z25" s="212"/>
      <c r="AA25" s="212"/>
      <c r="AB25" s="270"/>
      <c r="AC25" s="212"/>
      <c r="AD25" s="212"/>
      <c r="AE25" s="267"/>
      <c r="AF25" s="212"/>
      <c r="AG25" s="212"/>
      <c r="AH25" s="267"/>
      <c r="AI25" s="212"/>
      <c r="AJ25" s="267"/>
      <c r="AK25" s="212"/>
      <c r="AL25" s="212"/>
      <c r="AM25" s="267"/>
      <c r="AN25" s="212"/>
      <c r="AO25" s="267"/>
      <c r="AP25" s="212"/>
      <c r="AQ25" s="212"/>
      <c r="AR25" s="267"/>
      <c r="AS25" s="212"/>
      <c r="AT25" s="267"/>
      <c r="AU25" s="212"/>
      <c r="AV25" s="212"/>
      <c r="AW25" s="267"/>
      <c r="AX25" s="212"/>
      <c r="AY25" s="267"/>
    </row>
    <row r="26" spans="1:51" ht="31.5" customHeight="1">
      <c r="A26" s="133" t="s">
        <v>538</v>
      </c>
      <c r="B26" s="57" t="s">
        <v>539</v>
      </c>
      <c r="C26" s="133">
        <v>225</v>
      </c>
      <c r="D26" s="133">
        <v>22500</v>
      </c>
      <c r="E26" s="263">
        <f>SUM(E27:E32)</f>
        <v>491.83000000000004</v>
      </c>
      <c r="F26" s="263">
        <f>SUM(F27:F32)</f>
        <v>491.83000000000004</v>
      </c>
      <c r="G26" s="264">
        <f>+F26/E26</f>
        <v>1</v>
      </c>
      <c r="H26" s="263">
        <f>SUM(H27:H32)</f>
        <v>327.93</v>
      </c>
      <c r="I26" s="263">
        <f>SUM(I27:I32)</f>
        <v>317.70000000000005</v>
      </c>
      <c r="J26" s="264">
        <f>+I26/H26</f>
        <v>0.9688043179946941</v>
      </c>
      <c r="K26" s="263">
        <f>SUM(K27:K32)</f>
        <v>427.59</v>
      </c>
      <c r="L26" s="263">
        <f>SUM(L27:L32)</f>
        <v>411.07</v>
      </c>
      <c r="M26" s="264">
        <f>+L26/K26</f>
        <v>0.961364858860123</v>
      </c>
      <c r="N26" s="263">
        <f>SUM(N27:N32)</f>
        <v>710.5799999999999</v>
      </c>
      <c r="O26" s="263">
        <f>SUM(O27:O32)</f>
        <v>710.24</v>
      </c>
      <c r="P26" s="264">
        <f aca="true" t="shared" si="8" ref="P26:P33">+O26/N26</f>
        <v>0.9995215176334826</v>
      </c>
      <c r="Q26" s="263">
        <f>SUM(Q27:Q32)</f>
        <v>636.6400000000001</v>
      </c>
      <c r="R26" s="263">
        <f>SUM(R27:R32)</f>
        <v>636.6400000000001</v>
      </c>
      <c r="S26" s="264">
        <f aca="true" t="shared" si="9" ref="S26:S33">+R26/Q26</f>
        <v>1</v>
      </c>
      <c r="T26" s="263">
        <f>SUM(T27:T32)</f>
        <v>585.633</v>
      </c>
      <c r="U26" s="263">
        <f>SUM(U27:U32)</f>
        <v>585.633</v>
      </c>
      <c r="V26" s="264">
        <f aca="true" t="shared" si="10" ref="V26:V33">+U26/T26</f>
        <v>1</v>
      </c>
      <c r="W26" s="263">
        <f>SUM(W27:W32)</f>
        <v>634.71866</v>
      </c>
      <c r="X26" s="263">
        <f>SUM(X27:X32)</f>
        <v>634.71866</v>
      </c>
      <c r="Y26" s="265">
        <f>+X26/W26</f>
        <v>1</v>
      </c>
      <c r="Z26" s="266">
        <f>SUM(Z27:Z32)</f>
        <v>697.13281</v>
      </c>
      <c r="AA26" s="266">
        <f>SUM(AA27:AA32)</f>
        <v>695.36641</v>
      </c>
      <c r="AB26" s="265">
        <f aca="true" t="shared" si="11" ref="AB26:AB33">AA26/Z26</f>
        <v>0.9974661929912609</v>
      </c>
      <c r="AC26" s="266">
        <f>SUM(AC27:AC32)</f>
        <v>1622.77112</v>
      </c>
      <c r="AD26" s="266">
        <f>SUM(AD27:AD32)</f>
        <v>1614.28831</v>
      </c>
      <c r="AE26" s="267">
        <f>AD26/AC26</f>
        <v>0.9947726392863091</v>
      </c>
      <c r="AF26" s="266">
        <v>2257.201</v>
      </c>
      <c r="AG26" s="266">
        <f>413304.57/1000</f>
        <v>413.30457</v>
      </c>
      <c r="AH26" s="267">
        <f>AG26/AF26</f>
        <v>0.18310490293066503</v>
      </c>
      <c r="AI26" s="266">
        <f>2256470.1/1000</f>
        <v>2256.4701</v>
      </c>
      <c r="AJ26" s="267">
        <f>+AI26/AF26</f>
        <v>0.9996761918854369</v>
      </c>
      <c r="AK26" s="266">
        <f>819103.51/1000</f>
        <v>819.10351</v>
      </c>
      <c r="AL26" s="266">
        <f>413304.57/1000</f>
        <v>413.30457</v>
      </c>
      <c r="AM26" s="267">
        <f>AL26/AK26</f>
        <v>0.5045816126462455</v>
      </c>
      <c r="AN26" s="266">
        <f>819097.47/1000</f>
        <v>819.0974699999999</v>
      </c>
      <c r="AO26" s="267">
        <f>+AN26/AK26</f>
        <v>0.9999926260845835</v>
      </c>
      <c r="AP26" s="266">
        <f>876272.18/1000</f>
        <v>876.27218</v>
      </c>
      <c r="AQ26" s="266">
        <f>413304.57/1000</f>
        <v>413.30457</v>
      </c>
      <c r="AR26" s="267">
        <f>AQ26/AP26</f>
        <v>0.4716623207186607</v>
      </c>
      <c r="AS26" s="266">
        <f>875743.48/1000</f>
        <v>875.74348</v>
      </c>
      <c r="AT26" s="267">
        <f>+AS26/AP26</f>
        <v>0.9993966486531616</v>
      </c>
      <c r="AU26" s="370">
        <f>(5588215.56+27800)/1000</f>
        <v>5616.01556</v>
      </c>
      <c r="AV26" s="266">
        <f>413304.57/1000</f>
        <v>413.30457</v>
      </c>
      <c r="AW26" s="267">
        <f>AV26/AU26</f>
        <v>0.07359391468637598</v>
      </c>
      <c r="AX26" s="370">
        <f>1354167.58/1000</f>
        <v>1354.16758</v>
      </c>
      <c r="AY26" s="267">
        <f>+AX26/AU26</f>
        <v>0.24112603776332844</v>
      </c>
    </row>
    <row r="27" spans="1:51" ht="31.5">
      <c r="A27" s="146" t="s">
        <v>540</v>
      </c>
      <c r="B27" s="38" t="s">
        <v>541</v>
      </c>
      <c r="C27" s="146"/>
      <c r="D27" s="146" t="s">
        <v>542</v>
      </c>
      <c r="E27" s="211">
        <v>135.53</v>
      </c>
      <c r="F27" s="211">
        <v>135.53</v>
      </c>
      <c r="G27" s="267">
        <f>+F27/E27</f>
        <v>1</v>
      </c>
      <c r="H27" s="211">
        <v>141.43</v>
      </c>
      <c r="I27" s="211">
        <v>141.43</v>
      </c>
      <c r="J27" s="267">
        <f>+I27/H27</f>
        <v>1</v>
      </c>
      <c r="K27" s="212">
        <v>165.23</v>
      </c>
      <c r="L27" s="212">
        <v>148.85</v>
      </c>
      <c r="M27" s="267">
        <f>+L27/K27</f>
        <v>0.9008654602675059</v>
      </c>
      <c r="N27" s="212">
        <v>196.03</v>
      </c>
      <c r="O27" s="212">
        <v>196.03</v>
      </c>
      <c r="P27" s="267">
        <f t="shared" si="8"/>
        <v>1</v>
      </c>
      <c r="Q27" s="212">
        <v>226.33</v>
      </c>
      <c r="R27" s="212">
        <v>226.33</v>
      </c>
      <c r="S27" s="267">
        <f t="shared" si="9"/>
        <v>1</v>
      </c>
      <c r="T27" s="212">
        <f>(209729.1+8066.76)/1000</f>
        <v>217.79586</v>
      </c>
      <c r="U27" s="212">
        <f>(8066.76+209729.1)/1000</f>
        <v>217.79586</v>
      </c>
      <c r="V27" s="267">
        <f t="shared" si="10"/>
        <v>1</v>
      </c>
      <c r="W27" s="212">
        <f>(6816+3582.48+236252.01)/1000</f>
        <v>246.65049000000002</v>
      </c>
      <c r="X27" s="212">
        <f>(236252.01+3582.48+6816)/1000</f>
        <v>246.65049000000002</v>
      </c>
      <c r="Y27" s="269">
        <f>+X27/W27</f>
        <v>1</v>
      </c>
      <c r="Z27" s="212">
        <f>(276800+11420.88)/1000</f>
        <v>288.22088</v>
      </c>
      <c r="AA27" s="212">
        <f>(276800+11420.88)/1000</f>
        <v>288.22088</v>
      </c>
      <c r="AB27" s="269">
        <f t="shared" si="11"/>
        <v>1</v>
      </c>
      <c r="AC27" s="212">
        <f>(380133.47)/1000</f>
        <v>380.13347</v>
      </c>
      <c r="AD27" s="212">
        <f>(380133.47)/1000</f>
        <v>380.13347</v>
      </c>
      <c r="AE27" s="267">
        <f>AD27/AC27</f>
        <v>1</v>
      </c>
      <c r="AF27" s="212"/>
      <c r="AG27" s="212"/>
      <c r="AH27" s="267"/>
      <c r="AI27" s="212"/>
      <c r="AJ27" s="267"/>
      <c r="AK27" s="212"/>
      <c r="AL27" s="212"/>
      <c r="AM27" s="267"/>
      <c r="AN27" s="212"/>
      <c r="AO27" s="267"/>
      <c r="AP27" s="212"/>
      <c r="AQ27" s="212"/>
      <c r="AR27" s="267"/>
      <c r="AS27" s="212"/>
      <c r="AT27" s="267"/>
      <c r="AU27" s="212"/>
      <c r="AV27" s="212"/>
      <c r="AW27" s="267"/>
      <c r="AX27" s="212"/>
      <c r="AY27" s="267"/>
    </row>
    <row r="28" spans="1:51" ht="47.25">
      <c r="A28" s="146" t="s">
        <v>543</v>
      </c>
      <c r="B28" s="38" t="s">
        <v>544</v>
      </c>
      <c r="C28" s="146"/>
      <c r="D28" s="146" t="s">
        <v>545</v>
      </c>
      <c r="E28" s="272">
        <v>205.19</v>
      </c>
      <c r="F28" s="272">
        <v>205.19</v>
      </c>
      <c r="G28" s="273">
        <f>+F28/E28</f>
        <v>1</v>
      </c>
      <c r="H28" s="272">
        <v>0</v>
      </c>
      <c r="I28" s="272">
        <v>0</v>
      </c>
      <c r="J28" s="273"/>
      <c r="K28" s="274">
        <v>71.8</v>
      </c>
      <c r="L28" s="274">
        <v>71.8</v>
      </c>
      <c r="M28" s="273">
        <f>+L28/K28</f>
        <v>1</v>
      </c>
      <c r="N28" s="274">
        <v>50</v>
      </c>
      <c r="O28" s="274">
        <v>50</v>
      </c>
      <c r="P28" s="273">
        <f t="shared" si="8"/>
        <v>1</v>
      </c>
      <c r="Q28" s="274">
        <v>47.03</v>
      </c>
      <c r="R28" s="274">
        <v>47.03</v>
      </c>
      <c r="S28" s="273">
        <f t="shared" si="9"/>
        <v>1</v>
      </c>
      <c r="T28" s="274">
        <f>(53597+7600+900)/1000</f>
        <v>62.097</v>
      </c>
      <c r="U28" s="274">
        <f>(53597+7600+900)/1000</f>
        <v>62.097</v>
      </c>
      <c r="V28" s="273">
        <f t="shared" si="10"/>
        <v>1</v>
      </c>
      <c r="W28" s="274">
        <f>(85000+900)/1000</f>
        <v>85.9</v>
      </c>
      <c r="X28" s="274">
        <f>(85000+900)/1000</f>
        <v>85.9</v>
      </c>
      <c r="Y28" s="276">
        <f>+X28/W28</f>
        <v>1</v>
      </c>
      <c r="Z28" s="277">
        <f>(60000+22909.8+900)/1000</f>
        <v>83.80980000000001</v>
      </c>
      <c r="AA28" s="277">
        <f>(60000+900+22909.8)/1000</f>
        <v>83.80980000000001</v>
      </c>
      <c r="AB28" s="278">
        <f t="shared" si="11"/>
        <v>1</v>
      </c>
      <c r="AC28" s="212">
        <f>76868.2/1000</f>
        <v>76.8682</v>
      </c>
      <c r="AD28" s="212">
        <f>74555.09/1000</f>
        <v>74.55508999999999</v>
      </c>
      <c r="AE28" s="267">
        <f>AD28/AC28</f>
        <v>0.9699081024402808</v>
      </c>
      <c r="AF28" s="212"/>
      <c r="AG28" s="212"/>
      <c r="AH28" s="267"/>
      <c r="AI28" s="212"/>
      <c r="AJ28" s="267"/>
      <c r="AK28" s="212"/>
      <c r="AL28" s="212"/>
      <c r="AM28" s="267"/>
      <c r="AN28" s="212"/>
      <c r="AO28" s="267"/>
      <c r="AP28" s="212"/>
      <c r="AQ28" s="212"/>
      <c r="AR28" s="267"/>
      <c r="AS28" s="212"/>
      <c r="AT28" s="267"/>
      <c r="AU28" s="212"/>
      <c r="AV28" s="212"/>
      <c r="AW28" s="267"/>
      <c r="AX28" s="212"/>
      <c r="AY28" s="267"/>
    </row>
    <row r="29" spans="1:51" ht="79.5" customHeight="1">
      <c r="A29" s="146" t="s">
        <v>546</v>
      </c>
      <c r="B29" s="38" t="s">
        <v>547</v>
      </c>
      <c r="C29" s="146"/>
      <c r="D29" s="146" t="s">
        <v>548</v>
      </c>
      <c r="E29" s="272">
        <v>0</v>
      </c>
      <c r="F29" s="272">
        <v>0</v>
      </c>
      <c r="G29" s="273"/>
      <c r="H29" s="272">
        <v>3</v>
      </c>
      <c r="I29" s="272">
        <v>2.71</v>
      </c>
      <c r="J29" s="273">
        <f>+I29/H29</f>
        <v>0.9033333333333333</v>
      </c>
      <c r="K29" s="274">
        <v>3.15</v>
      </c>
      <c r="L29" s="274">
        <v>3.02</v>
      </c>
      <c r="M29" s="273">
        <f>+L29/K29</f>
        <v>0.9587301587301588</v>
      </c>
      <c r="N29" s="274">
        <v>3.5</v>
      </c>
      <c r="O29" s="274">
        <v>3.5</v>
      </c>
      <c r="P29" s="273">
        <f t="shared" si="8"/>
        <v>1</v>
      </c>
      <c r="Q29" s="274">
        <v>2.98</v>
      </c>
      <c r="R29" s="274">
        <v>2.98</v>
      </c>
      <c r="S29" s="273">
        <f t="shared" si="9"/>
        <v>1</v>
      </c>
      <c r="T29" s="274">
        <f>3475/1000</f>
        <v>3.475</v>
      </c>
      <c r="U29" s="274">
        <f>3475/1000</f>
        <v>3.475</v>
      </c>
      <c r="V29" s="273">
        <f t="shared" si="10"/>
        <v>1</v>
      </c>
      <c r="W29" s="274">
        <f>3840/1000</f>
        <v>3.84</v>
      </c>
      <c r="X29" s="274">
        <f>3840/1000</f>
        <v>3.84</v>
      </c>
      <c r="Y29" s="276">
        <f>+X29/W29</f>
        <v>1</v>
      </c>
      <c r="Z29" s="277">
        <f>3840/1000</f>
        <v>3.84</v>
      </c>
      <c r="AA29" s="277">
        <f>3840/1000</f>
        <v>3.84</v>
      </c>
      <c r="AB29" s="278">
        <f t="shared" si="11"/>
        <v>1</v>
      </c>
      <c r="AC29" s="212">
        <f>5246.2/1000</f>
        <v>5.2462</v>
      </c>
      <c r="AD29" s="212">
        <f>5246.2/1000</f>
        <v>5.2462</v>
      </c>
      <c r="AE29" s="267">
        <f>AD29/AC29</f>
        <v>1</v>
      </c>
      <c r="AF29" s="212"/>
      <c r="AG29" s="212"/>
      <c r="AH29" s="267"/>
      <c r="AI29" s="212"/>
      <c r="AJ29" s="267"/>
      <c r="AK29" s="212"/>
      <c r="AL29" s="212"/>
      <c r="AM29" s="267"/>
      <c r="AN29" s="212"/>
      <c r="AO29" s="267"/>
      <c r="AP29" s="212"/>
      <c r="AQ29" s="212"/>
      <c r="AR29" s="267"/>
      <c r="AS29" s="212"/>
      <c r="AT29" s="267"/>
      <c r="AU29" s="212"/>
      <c r="AV29" s="212"/>
      <c r="AW29" s="267"/>
      <c r="AX29" s="212"/>
      <c r="AY29" s="267"/>
    </row>
    <row r="30" spans="1:51" ht="78.75">
      <c r="A30" s="146" t="s">
        <v>549</v>
      </c>
      <c r="B30" s="38" t="s">
        <v>550</v>
      </c>
      <c r="C30" s="146"/>
      <c r="D30" s="146" t="s">
        <v>551</v>
      </c>
      <c r="E30" s="272">
        <v>0</v>
      </c>
      <c r="F30" s="272">
        <v>0</v>
      </c>
      <c r="G30" s="273"/>
      <c r="H30" s="272">
        <v>25</v>
      </c>
      <c r="I30" s="272">
        <v>25</v>
      </c>
      <c r="J30" s="273">
        <f>+I30/H30</f>
        <v>1</v>
      </c>
      <c r="K30" s="274">
        <v>15</v>
      </c>
      <c r="L30" s="274">
        <v>15</v>
      </c>
      <c r="M30" s="273">
        <f>+L30/K30</f>
        <v>1</v>
      </c>
      <c r="N30" s="274">
        <v>64.85</v>
      </c>
      <c r="O30" s="274">
        <v>64.85</v>
      </c>
      <c r="P30" s="273">
        <f t="shared" si="8"/>
        <v>1</v>
      </c>
      <c r="Q30" s="274">
        <v>30</v>
      </c>
      <c r="R30" s="274">
        <v>30</v>
      </c>
      <c r="S30" s="273">
        <f t="shared" si="9"/>
        <v>1</v>
      </c>
      <c r="T30" s="274">
        <f>15000/1000</f>
        <v>15</v>
      </c>
      <c r="U30" s="274">
        <f>15000/1000</f>
        <v>15</v>
      </c>
      <c r="V30" s="273">
        <f t="shared" si="10"/>
        <v>1</v>
      </c>
      <c r="W30" s="274">
        <v>0</v>
      </c>
      <c r="X30" s="274">
        <f>0/1000</f>
        <v>0</v>
      </c>
      <c r="Y30" s="276"/>
      <c r="Z30" s="277">
        <f>22500/1000</f>
        <v>22.5</v>
      </c>
      <c r="AA30" s="277">
        <f>22500/1000</f>
        <v>22.5</v>
      </c>
      <c r="AB30" s="278">
        <f t="shared" si="11"/>
        <v>1</v>
      </c>
      <c r="AC30" s="212"/>
      <c r="AD30" s="212"/>
      <c r="AE30" s="267"/>
      <c r="AF30" s="212"/>
      <c r="AG30" s="212"/>
      <c r="AH30" s="267"/>
      <c r="AI30" s="212"/>
      <c r="AJ30" s="267"/>
      <c r="AK30" s="212"/>
      <c r="AL30" s="212"/>
      <c r="AM30" s="267"/>
      <c r="AN30" s="212"/>
      <c r="AO30" s="267"/>
      <c r="AP30" s="212"/>
      <c r="AQ30" s="212"/>
      <c r="AR30" s="267"/>
      <c r="AS30" s="212"/>
      <c r="AT30" s="267"/>
      <c r="AU30" s="212"/>
      <c r="AV30" s="212"/>
      <c r="AW30" s="267"/>
      <c r="AX30" s="212"/>
      <c r="AY30" s="267"/>
    </row>
    <row r="31" spans="1:51" ht="47.25">
      <c r="A31" s="146" t="s">
        <v>552</v>
      </c>
      <c r="B31" s="38" t="s">
        <v>553</v>
      </c>
      <c r="C31" s="146"/>
      <c r="D31" s="146" t="s">
        <v>554</v>
      </c>
      <c r="E31" s="272">
        <v>0</v>
      </c>
      <c r="F31" s="272">
        <v>0</v>
      </c>
      <c r="G31" s="273"/>
      <c r="H31" s="272">
        <v>0</v>
      </c>
      <c r="I31" s="272">
        <v>0</v>
      </c>
      <c r="J31" s="273"/>
      <c r="K31" s="274">
        <v>0</v>
      </c>
      <c r="L31" s="274">
        <v>0</v>
      </c>
      <c r="M31" s="273"/>
      <c r="N31" s="274">
        <v>202</v>
      </c>
      <c r="O31" s="274">
        <v>201.98</v>
      </c>
      <c r="P31" s="273">
        <f t="shared" si="8"/>
        <v>0.9999009900990099</v>
      </c>
      <c r="Q31" s="274">
        <v>166.74</v>
      </c>
      <c r="R31" s="274">
        <v>166.74</v>
      </c>
      <c r="S31" s="273">
        <f t="shared" si="9"/>
        <v>1</v>
      </c>
      <c r="T31" s="274">
        <f>120592.82/1000</f>
        <v>120.59282</v>
      </c>
      <c r="U31" s="274">
        <f>120592.82/1000</f>
        <v>120.59282</v>
      </c>
      <c r="V31" s="273">
        <f t="shared" si="10"/>
        <v>1</v>
      </c>
      <c r="W31" s="274">
        <f>(84999+3000+12446.75)/1000</f>
        <v>100.44575</v>
      </c>
      <c r="X31" s="274">
        <f>(12446.75+3000+84999)/1000</f>
        <v>100.44575</v>
      </c>
      <c r="Y31" s="276">
        <f>+X31/W31</f>
        <v>1</v>
      </c>
      <c r="Z31" s="277">
        <f>(3934.12+63440.65+3500+1753.13)/1000</f>
        <v>72.62790000000001</v>
      </c>
      <c r="AA31" s="277">
        <f>(3934.12+63440.65+3500+1753.13)/1000</f>
        <v>72.62790000000001</v>
      </c>
      <c r="AB31" s="278">
        <f t="shared" si="11"/>
        <v>1</v>
      </c>
      <c r="AC31" s="212">
        <f>(953141.25)/1000</f>
        <v>953.14125</v>
      </c>
      <c r="AD31" s="212">
        <f>953141.28/1000</f>
        <v>953.14128</v>
      </c>
      <c r="AE31" s="267">
        <f>AD31/AC31</f>
        <v>1.0000000314748732</v>
      </c>
      <c r="AF31" s="212"/>
      <c r="AG31" s="212"/>
      <c r="AH31" s="267"/>
      <c r="AI31" s="212"/>
      <c r="AJ31" s="267"/>
      <c r="AK31" s="212"/>
      <c r="AL31" s="212"/>
      <c r="AM31" s="267"/>
      <c r="AN31" s="212"/>
      <c r="AO31" s="267"/>
      <c r="AP31" s="212"/>
      <c r="AQ31" s="212"/>
      <c r="AR31" s="267"/>
      <c r="AS31" s="212"/>
      <c r="AT31" s="267"/>
      <c r="AU31" s="212"/>
      <c r="AV31" s="212"/>
      <c r="AW31" s="267"/>
      <c r="AX31" s="212"/>
      <c r="AY31" s="267"/>
    </row>
    <row r="32" spans="1:51" ht="31.5">
      <c r="A32" s="146" t="s">
        <v>555</v>
      </c>
      <c r="B32" s="38" t="s">
        <v>556</v>
      </c>
      <c r="C32" s="146"/>
      <c r="D32" s="146" t="s">
        <v>557</v>
      </c>
      <c r="E32" s="272">
        <v>151.11</v>
      </c>
      <c r="F32" s="272">
        <v>151.11</v>
      </c>
      <c r="G32" s="273">
        <f>+F32/E32</f>
        <v>1</v>
      </c>
      <c r="H32" s="272">
        <v>158.5</v>
      </c>
      <c r="I32" s="272">
        <v>148.56</v>
      </c>
      <c r="J32" s="273">
        <f>+I32/H32</f>
        <v>0.9372870662460568</v>
      </c>
      <c r="K32" s="274">
        <v>172.41</v>
      </c>
      <c r="L32" s="274">
        <v>172.4</v>
      </c>
      <c r="M32" s="273">
        <f>+L32/K32</f>
        <v>0.9999419987239719</v>
      </c>
      <c r="N32" s="274">
        <v>194.2</v>
      </c>
      <c r="O32" s="274">
        <v>193.88</v>
      </c>
      <c r="P32" s="273">
        <f t="shared" si="8"/>
        <v>0.9983522142121525</v>
      </c>
      <c r="Q32" s="274">
        <v>163.56</v>
      </c>
      <c r="R32" s="274">
        <v>163.56</v>
      </c>
      <c r="S32" s="273">
        <f t="shared" si="9"/>
        <v>1</v>
      </c>
      <c r="T32" s="274">
        <f>(165712.32+960)/1000</f>
        <v>166.67232</v>
      </c>
      <c r="U32" s="274">
        <f>(960+165712.32)/1000</f>
        <v>166.67232</v>
      </c>
      <c r="V32" s="273">
        <f t="shared" si="10"/>
        <v>1</v>
      </c>
      <c r="W32" s="274">
        <f>(1180+175505.62+21196.8)/1000</f>
        <v>197.88242</v>
      </c>
      <c r="X32" s="274">
        <f>(1180+175505.62+21196.8)/1000</f>
        <v>197.88242</v>
      </c>
      <c r="Y32" s="276">
        <f>+X32/W32</f>
        <v>1</v>
      </c>
      <c r="Z32" s="277">
        <f>(185817.43+5520+1200+21196.8+2400+10000)/1000</f>
        <v>226.13422999999997</v>
      </c>
      <c r="AA32" s="277">
        <f>(185817.43+5520+1200+19430.4+2400+10000)/1000</f>
        <v>224.36783</v>
      </c>
      <c r="AB32" s="278">
        <f t="shared" si="11"/>
        <v>0.9921887102187051</v>
      </c>
      <c r="AC32" s="212">
        <f>207382/1000</f>
        <v>207.382</v>
      </c>
      <c r="AD32" s="212">
        <f>201212.27/1000</f>
        <v>201.21227</v>
      </c>
      <c r="AE32" s="267">
        <f>AD32/AC32</f>
        <v>0.9702494430567744</v>
      </c>
      <c r="AF32" s="212"/>
      <c r="AG32" s="212"/>
      <c r="AH32" s="267"/>
      <c r="AI32" s="212"/>
      <c r="AJ32" s="267"/>
      <c r="AK32" s="212"/>
      <c r="AL32" s="212"/>
      <c r="AM32" s="267"/>
      <c r="AN32" s="212"/>
      <c r="AO32" s="267"/>
      <c r="AP32" s="212"/>
      <c r="AQ32" s="212"/>
      <c r="AR32" s="267"/>
      <c r="AS32" s="212"/>
      <c r="AT32" s="267"/>
      <c r="AU32" s="212"/>
      <c r="AV32" s="212"/>
      <c r="AW32" s="267"/>
      <c r="AX32" s="212"/>
      <c r="AY32" s="267"/>
    </row>
    <row r="33" spans="1:51" ht="15.75">
      <c r="A33" s="133" t="s">
        <v>558</v>
      </c>
      <c r="B33" s="57" t="s">
        <v>559</v>
      </c>
      <c r="C33" s="133">
        <v>226</v>
      </c>
      <c r="D33" s="133">
        <v>22600</v>
      </c>
      <c r="E33" s="263">
        <f>SUM(E34:E40)</f>
        <v>1943.23</v>
      </c>
      <c r="F33" s="263">
        <f>SUM(F34:F40)</f>
        <v>1609.21</v>
      </c>
      <c r="G33" s="264">
        <f>+F33/E33</f>
        <v>0.8281109287114752</v>
      </c>
      <c r="H33" s="263">
        <f>SUM(H34:H40)</f>
        <v>1185.4</v>
      </c>
      <c r="I33" s="263">
        <f>SUM(I34:I40)</f>
        <v>1151.2399999999998</v>
      </c>
      <c r="J33" s="264">
        <f>+I33/H33</f>
        <v>0.9711827231314322</v>
      </c>
      <c r="K33" s="263">
        <f>SUM(K34:K40)</f>
        <v>1290.6799999999998</v>
      </c>
      <c r="L33" s="263">
        <f>SUM(L34:L40)</f>
        <v>1194.13</v>
      </c>
      <c r="M33" s="264">
        <f>+L33/K33</f>
        <v>0.9251944711314968</v>
      </c>
      <c r="N33" s="263">
        <f>SUM(N34:N40)</f>
        <v>1440.6599999999999</v>
      </c>
      <c r="O33" s="263">
        <f>SUM(O34:O40)</f>
        <v>1263.9299999999998</v>
      </c>
      <c r="P33" s="264">
        <f t="shared" si="8"/>
        <v>0.8773270584315522</v>
      </c>
      <c r="Q33" s="263">
        <f>SUM(Q34:Q40)</f>
        <v>1240.49</v>
      </c>
      <c r="R33" s="263">
        <f>SUM(R34:R40)</f>
        <v>1177.63</v>
      </c>
      <c r="S33" s="264">
        <f t="shared" si="9"/>
        <v>0.9493264758281003</v>
      </c>
      <c r="T33" s="263">
        <f>SUM(T34:T40)</f>
        <v>1140.70905</v>
      </c>
      <c r="U33" s="263">
        <f>SUM(U34:U40)</f>
        <v>1060.5498699999998</v>
      </c>
      <c r="V33" s="264">
        <f t="shared" si="10"/>
        <v>0.9297286367632481</v>
      </c>
      <c r="W33" s="263">
        <f>SUM(W34:W40)</f>
        <v>1416.8619800000001</v>
      </c>
      <c r="X33" s="263">
        <f>SUM(X34:X40)</f>
        <v>1331.04063</v>
      </c>
      <c r="Y33" s="265">
        <f>+X33/W33</f>
        <v>0.9394285744049677</v>
      </c>
      <c r="Z33" s="266">
        <f>SUM(Z34:Z40)</f>
        <v>1255.0946199999998</v>
      </c>
      <c r="AA33" s="266">
        <f>SUM(AA34:AA40)</f>
        <v>1142.13327</v>
      </c>
      <c r="AB33" s="265">
        <f t="shared" si="11"/>
        <v>0.9099977418435593</v>
      </c>
      <c r="AC33" s="266">
        <f>SUM(AC34:AC40)</f>
        <v>1286.013</v>
      </c>
      <c r="AD33" s="266">
        <f>SUM(AD34:AD40)</f>
        <v>1268.10115</v>
      </c>
      <c r="AE33" s="267">
        <f>AD33/AC33</f>
        <v>0.986071797096919</v>
      </c>
      <c r="AF33" s="266">
        <f>1735625.22/1000</f>
        <v>1735.62522</v>
      </c>
      <c r="AG33" s="266">
        <f>461674.08/1000</f>
        <v>461.67408</v>
      </c>
      <c r="AH33" s="267">
        <f>AG33/AF33</f>
        <v>0.2659987160131264</v>
      </c>
      <c r="AI33" s="266">
        <v>1706.954</v>
      </c>
      <c r="AJ33" s="267">
        <f>+AI33/AF33</f>
        <v>0.9834807539844346</v>
      </c>
      <c r="AK33" s="266">
        <f>1043746.45/1000</f>
        <v>1043.7464499999999</v>
      </c>
      <c r="AL33" s="266">
        <f>461674.08/1000</f>
        <v>461.67408</v>
      </c>
      <c r="AM33" s="267">
        <f>AL33/AK33</f>
        <v>0.44232397628753617</v>
      </c>
      <c r="AN33" s="266">
        <f>1023658.07/1000</f>
        <v>1023.65807</v>
      </c>
      <c r="AO33" s="267">
        <f>+AN33/AK33</f>
        <v>0.9807535824433224</v>
      </c>
      <c r="AP33" s="266">
        <f>1782567.5/1000</f>
        <v>1782.5675</v>
      </c>
      <c r="AQ33" s="266">
        <f>461674.08/1000</f>
        <v>461.67408</v>
      </c>
      <c r="AR33" s="267">
        <f>AQ33/AP33</f>
        <v>0.2589938838220712</v>
      </c>
      <c r="AS33" s="266">
        <f>1743145.62/1000</f>
        <v>1743.14562</v>
      </c>
      <c r="AT33" s="267">
        <f>+AS33/AP33</f>
        <v>0.9778847757518299</v>
      </c>
      <c r="AU33" s="370">
        <f>1076699.97/1000</f>
        <v>1076.69997</v>
      </c>
      <c r="AV33" s="370">
        <f>461674.08/1000</f>
        <v>461.67408</v>
      </c>
      <c r="AW33" s="369">
        <f>AV33/AU33</f>
        <v>0.42878619194166046</v>
      </c>
      <c r="AX33" s="370">
        <f>489737.56/1000</f>
        <v>489.73756</v>
      </c>
      <c r="AY33" s="267">
        <f>+AX33/AU33</f>
        <v>0.4548505374250173</v>
      </c>
    </row>
    <row r="34" spans="1:51" ht="31.5">
      <c r="A34" s="146" t="s">
        <v>560</v>
      </c>
      <c r="B34" s="38" t="s">
        <v>561</v>
      </c>
      <c r="C34" s="146"/>
      <c r="D34" s="146" t="s">
        <v>562</v>
      </c>
      <c r="E34" s="272">
        <v>40</v>
      </c>
      <c r="F34" s="272">
        <v>40</v>
      </c>
      <c r="G34" s="273">
        <f>+F34/E34</f>
        <v>1</v>
      </c>
      <c r="H34" s="272">
        <v>0</v>
      </c>
      <c r="I34" s="272">
        <v>0</v>
      </c>
      <c r="J34" s="273"/>
      <c r="K34" s="274">
        <v>0</v>
      </c>
      <c r="L34" s="274">
        <v>0</v>
      </c>
      <c r="M34" s="273"/>
      <c r="N34" s="274">
        <v>0</v>
      </c>
      <c r="O34" s="274">
        <v>0</v>
      </c>
      <c r="P34" s="273"/>
      <c r="Q34" s="274"/>
      <c r="R34" s="274"/>
      <c r="S34" s="273"/>
      <c r="T34" s="274"/>
      <c r="U34" s="274"/>
      <c r="V34" s="273"/>
      <c r="W34" s="274"/>
      <c r="X34" s="274"/>
      <c r="Y34" s="276"/>
      <c r="Z34" s="277"/>
      <c r="AA34" s="277"/>
      <c r="AB34" s="280"/>
      <c r="AC34" s="212"/>
      <c r="AD34" s="212"/>
      <c r="AE34" s="267"/>
      <c r="AF34" s="212"/>
      <c r="AG34" s="212"/>
      <c r="AH34" s="267"/>
      <c r="AI34" s="212"/>
      <c r="AJ34" s="267"/>
      <c r="AK34" s="212"/>
      <c r="AL34" s="212"/>
      <c r="AM34" s="267"/>
      <c r="AN34" s="212"/>
      <c r="AO34" s="267"/>
      <c r="AP34" s="212"/>
      <c r="AQ34" s="212"/>
      <c r="AR34" s="267"/>
      <c r="AS34" s="212"/>
      <c r="AT34" s="267"/>
      <c r="AU34" s="212"/>
      <c r="AV34" s="212"/>
      <c r="AW34" s="267"/>
      <c r="AX34" s="212"/>
      <c r="AY34" s="267"/>
    </row>
    <row r="35" spans="1:51" ht="15.75">
      <c r="A35" s="146" t="s">
        <v>563</v>
      </c>
      <c r="B35" s="38" t="s">
        <v>564</v>
      </c>
      <c r="C35" s="146"/>
      <c r="D35" s="146" t="s">
        <v>565</v>
      </c>
      <c r="E35" s="272">
        <v>0</v>
      </c>
      <c r="F35" s="272">
        <v>0</v>
      </c>
      <c r="G35" s="273"/>
      <c r="H35" s="272">
        <v>0</v>
      </c>
      <c r="I35" s="272">
        <v>0</v>
      </c>
      <c r="J35" s="273"/>
      <c r="K35" s="274">
        <v>0</v>
      </c>
      <c r="L35" s="274">
        <v>0</v>
      </c>
      <c r="M35" s="273"/>
      <c r="N35" s="274">
        <v>0</v>
      </c>
      <c r="O35" s="274">
        <v>0</v>
      </c>
      <c r="P35" s="273"/>
      <c r="Q35" s="274"/>
      <c r="R35" s="274"/>
      <c r="S35" s="273"/>
      <c r="T35" s="274"/>
      <c r="U35" s="274"/>
      <c r="V35" s="273"/>
      <c r="W35" s="274"/>
      <c r="X35" s="274"/>
      <c r="Y35" s="276"/>
      <c r="Z35" s="277"/>
      <c r="AA35" s="277"/>
      <c r="AB35" s="280"/>
      <c r="AC35" s="212"/>
      <c r="AD35" s="212"/>
      <c r="AE35" s="267"/>
      <c r="AF35" s="212"/>
      <c r="AG35" s="212"/>
      <c r="AH35" s="267"/>
      <c r="AI35" s="212"/>
      <c r="AJ35" s="267"/>
      <c r="AK35" s="212"/>
      <c r="AL35" s="212"/>
      <c r="AM35" s="267"/>
      <c r="AN35" s="212"/>
      <c r="AO35" s="267"/>
      <c r="AP35" s="212"/>
      <c r="AQ35" s="212"/>
      <c r="AR35" s="267"/>
      <c r="AS35" s="212"/>
      <c r="AT35" s="267"/>
      <c r="AU35" s="212"/>
      <c r="AV35" s="212"/>
      <c r="AW35" s="267"/>
      <c r="AX35" s="212"/>
      <c r="AY35" s="267"/>
    </row>
    <row r="36" spans="1:51" ht="15.75">
      <c r="A36" s="146" t="s">
        <v>566</v>
      </c>
      <c r="B36" s="38" t="s">
        <v>337</v>
      </c>
      <c r="C36" s="146"/>
      <c r="D36" s="146" t="s">
        <v>567</v>
      </c>
      <c r="E36" s="272">
        <v>560.8</v>
      </c>
      <c r="F36" s="272">
        <v>560.8</v>
      </c>
      <c r="G36" s="273">
        <f>+F36/E36</f>
        <v>1</v>
      </c>
      <c r="H36" s="272">
        <v>378.75</v>
      </c>
      <c r="I36" s="272">
        <v>374.57</v>
      </c>
      <c r="J36" s="273">
        <f>+I36/H36</f>
        <v>0.988963696369637</v>
      </c>
      <c r="K36" s="274">
        <v>415</v>
      </c>
      <c r="L36" s="274">
        <v>368.25</v>
      </c>
      <c r="M36" s="273">
        <f>+L36/K36</f>
        <v>0.8873493975903615</v>
      </c>
      <c r="N36" s="274">
        <v>373.29</v>
      </c>
      <c r="O36" s="274">
        <v>373.29</v>
      </c>
      <c r="P36" s="273">
        <f>+O36/N36</f>
        <v>1</v>
      </c>
      <c r="Q36" s="274">
        <v>399.21</v>
      </c>
      <c r="R36" s="274">
        <v>399.21</v>
      </c>
      <c r="S36" s="273">
        <f>+R36/Q36</f>
        <v>1</v>
      </c>
      <c r="T36" s="274">
        <f>315000/1000</f>
        <v>315</v>
      </c>
      <c r="U36" s="274">
        <f>315000/1000</f>
        <v>315</v>
      </c>
      <c r="V36" s="273">
        <f>+U36/T36</f>
        <v>1</v>
      </c>
      <c r="W36" s="274">
        <f>181387.82/1000</f>
        <v>181.38782</v>
      </c>
      <c r="X36" s="274">
        <f>181387.82/1000</f>
        <v>181.38782</v>
      </c>
      <c r="Y36" s="276">
        <f>+X36/W36</f>
        <v>1</v>
      </c>
      <c r="Z36" s="277">
        <f>156707.47/1000</f>
        <v>156.70747</v>
      </c>
      <c r="AA36" s="277">
        <v>156.71</v>
      </c>
      <c r="AB36" s="278">
        <f>AA36/Z36</f>
        <v>1.0000161447313265</v>
      </c>
      <c r="AC36" s="212">
        <f>(110664)/1000</f>
        <v>110.664</v>
      </c>
      <c r="AD36" s="212">
        <f>(110664)/1000</f>
        <v>110.664</v>
      </c>
      <c r="AE36" s="267">
        <f>AD36/AC36</f>
        <v>1</v>
      </c>
      <c r="AF36" s="212"/>
      <c r="AG36" s="212"/>
      <c r="AH36" s="267"/>
      <c r="AI36" s="212"/>
      <c r="AJ36" s="267"/>
      <c r="AK36" s="212"/>
      <c r="AL36" s="212"/>
      <c r="AM36" s="267"/>
      <c r="AN36" s="212"/>
      <c r="AO36" s="267"/>
      <c r="AP36" s="212"/>
      <c r="AQ36" s="212"/>
      <c r="AR36" s="267"/>
      <c r="AS36" s="212"/>
      <c r="AT36" s="267"/>
      <c r="AU36" s="212"/>
      <c r="AV36" s="212"/>
      <c r="AW36" s="267"/>
      <c r="AX36" s="212"/>
      <c r="AY36" s="267"/>
    </row>
    <row r="37" spans="1:51" ht="15.75">
      <c r="A37" s="146" t="s">
        <v>568</v>
      </c>
      <c r="B37" s="38" t="s">
        <v>512</v>
      </c>
      <c r="C37" s="146"/>
      <c r="D37" s="146" t="s">
        <v>569</v>
      </c>
      <c r="E37" s="272">
        <v>0</v>
      </c>
      <c r="F37" s="272">
        <v>0</v>
      </c>
      <c r="G37" s="273"/>
      <c r="H37" s="272">
        <v>0</v>
      </c>
      <c r="I37" s="272">
        <v>0</v>
      </c>
      <c r="J37" s="273"/>
      <c r="K37" s="274">
        <v>0</v>
      </c>
      <c r="L37" s="274">
        <v>0</v>
      </c>
      <c r="M37" s="273"/>
      <c r="N37" s="274">
        <v>0</v>
      </c>
      <c r="O37" s="274">
        <v>0</v>
      </c>
      <c r="P37" s="273"/>
      <c r="Q37" s="274"/>
      <c r="R37" s="274"/>
      <c r="S37" s="273"/>
      <c r="T37" s="274"/>
      <c r="U37" s="274"/>
      <c r="V37" s="273"/>
      <c r="W37" s="274"/>
      <c r="X37" s="274"/>
      <c r="Y37" s="276"/>
      <c r="Z37" s="277"/>
      <c r="AA37" s="277"/>
      <c r="AB37" s="280"/>
      <c r="AC37" s="212"/>
      <c r="AD37" s="212"/>
      <c r="AE37" s="267"/>
      <c r="AF37" s="212"/>
      <c r="AG37" s="212"/>
      <c r="AH37" s="267"/>
      <c r="AI37" s="212"/>
      <c r="AJ37" s="267"/>
      <c r="AK37" s="212"/>
      <c r="AL37" s="212"/>
      <c r="AM37" s="267"/>
      <c r="AN37" s="212"/>
      <c r="AO37" s="267"/>
      <c r="AP37" s="212"/>
      <c r="AQ37" s="212"/>
      <c r="AR37" s="267"/>
      <c r="AS37" s="212"/>
      <c r="AT37" s="267"/>
      <c r="AU37" s="212"/>
      <c r="AV37" s="212"/>
      <c r="AW37" s="267"/>
      <c r="AX37" s="212"/>
      <c r="AY37" s="267"/>
    </row>
    <row r="38" spans="1:51" ht="31.5">
      <c r="A38" s="146" t="s">
        <v>570</v>
      </c>
      <c r="B38" s="38" t="s">
        <v>571</v>
      </c>
      <c r="C38" s="146"/>
      <c r="D38" s="146" t="s">
        <v>572</v>
      </c>
      <c r="E38" s="272">
        <f>163.05+20</f>
        <v>183.05</v>
      </c>
      <c r="F38" s="272">
        <f>163.05+20</f>
        <v>183.05</v>
      </c>
      <c r="G38" s="273">
        <f>+F38/E38</f>
        <v>1</v>
      </c>
      <c r="H38" s="272">
        <v>98.84</v>
      </c>
      <c r="I38" s="272">
        <v>98.84</v>
      </c>
      <c r="J38" s="273">
        <f>+I38/H38</f>
        <v>1</v>
      </c>
      <c r="K38" s="274">
        <v>140.78</v>
      </c>
      <c r="L38" s="274">
        <v>140.78</v>
      </c>
      <c r="M38" s="273">
        <f>+L38/K38</f>
        <v>1</v>
      </c>
      <c r="N38" s="274">
        <v>94.59</v>
      </c>
      <c r="O38" s="274">
        <v>94.49</v>
      </c>
      <c r="P38" s="273">
        <f>+O38/N38</f>
        <v>0.9989428057934242</v>
      </c>
      <c r="Q38" s="274">
        <v>232.8</v>
      </c>
      <c r="R38" s="274">
        <v>232.8</v>
      </c>
      <c r="S38" s="273">
        <f>+R38/Q38</f>
        <v>1</v>
      </c>
      <c r="T38" s="274">
        <f>75000/1000</f>
        <v>75</v>
      </c>
      <c r="U38" s="274">
        <f>75000/1000</f>
        <v>75</v>
      </c>
      <c r="V38" s="273">
        <f>+U38/T38</f>
        <v>1</v>
      </c>
      <c r="W38" s="274">
        <f>(23640+29664+73217.76+5100+1000+62240.67)/1000</f>
        <v>194.86243</v>
      </c>
      <c r="X38" s="274">
        <f>(23640+29664+73217.76+5100+1000+62240.67)/1000</f>
        <v>194.86243</v>
      </c>
      <c r="Y38" s="276">
        <f>+X38/W38</f>
        <v>1</v>
      </c>
      <c r="Z38" s="277">
        <v>165.54</v>
      </c>
      <c r="AA38" s="277">
        <v>165.54</v>
      </c>
      <c r="AB38" s="278">
        <f>AA38/Z38</f>
        <v>1</v>
      </c>
      <c r="AC38" s="212">
        <f>236816/1000</f>
        <v>236.816</v>
      </c>
      <c r="AD38" s="212">
        <f>236816/1000</f>
        <v>236.816</v>
      </c>
      <c r="AE38" s="267">
        <f>AD38/AC38</f>
        <v>1</v>
      </c>
      <c r="AF38" s="212"/>
      <c r="AG38" s="212"/>
      <c r="AH38" s="267"/>
      <c r="AI38" s="212"/>
      <c r="AJ38" s="267"/>
      <c r="AK38" s="212"/>
      <c r="AL38" s="212"/>
      <c r="AM38" s="267"/>
      <c r="AN38" s="212"/>
      <c r="AO38" s="267"/>
      <c r="AP38" s="212"/>
      <c r="AQ38" s="212"/>
      <c r="AR38" s="267"/>
      <c r="AS38" s="212"/>
      <c r="AT38" s="267"/>
      <c r="AU38" s="212"/>
      <c r="AV38" s="212"/>
      <c r="AW38" s="267"/>
      <c r="AX38" s="212"/>
      <c r="AY38" s="267"/>
    </row>
    <row r="39" spans="1:51" ht="47.25">
      <c r="A39" s="146" t="s">
        <v>573</v>
      </c>
      <c r="B39" s="38" t="s">
        <v>574</v>
      </c>
      <c r="C39" s="146"/>
      <c r="D39" s="146" t="s">
        <v>575</v>
      </c>
      <c r="E39" s="272">
        <v>0</v>
      </c>
      <c r="F39" s="272">
        <v>0</v>
      </c>
      <c r="G39" s="273"/>
      <c r="H39" s="272">
        <v>0</v>
      </c>
      <c r="I39" s="272">
        <v>0</v>
      </c>
      <c r="J39" s="273"/>
      <c r="K39" s="274">
        <v>0</v>
      </c>
      <c r="L39" s="274">
        <v>0</v>
      </c>
      <c r="M39" s="273"/>
      <c r="N39" s="274">
        <v>195</v>
      </c>
      <c r="O39" s="274">
        <v>195</v>
      </c>
      <c r="P39" s="273">
        <f>+O39/N39</f>
        <v>1</v>
      </c>
      <c r="Q39" s="274"/>
      <c r="R39" s="274"/>
      <c r="S39" s="273"/>
      <c r="T39" s="274"/>
      <c r="U39" s="274"/>
      <c r="V39" s="273"/>
      <c r="W39" s="274"/>
      <c r="X39" s="274"/>
      <c r="Y39" s="276"/>
      <c r="Z39" s="277"/>
      <c r="AA39" s="277"/>
      <c r="AB39" s="280"/>
      <c r="AC39" s="212">
        <f>85000/1000</f>
        <v>85</v>
      </c>
      <c r="AD39" s="212">
        <f>84999.99/1000</f>
        <v>84.99999000000001</v>
      </c>
      <c r="AE39" s="267">
        <f>AD39/AC39</f>
        <v>0.9999998823529413</v>
      </c>
      <c r="AF39" s="212"/>
      <c r="AG39" s="212"/>
      <c r="AH39" s="267"/>
      <c r="AI39" s="212"/>
      <c r="AJ39" s="267"/>
      <c r="AK39" s="212"/>
      <c r="AL39" s="212"/>
      <c r="AM39" s="267"/>
      <c r="AN39" s="212"/>
      <c r="AO39" s="267"/>
      <c r="AP39" s="212"/>
      <c r="AQ39" s="212"/>
      <c r="AR39" s="267"/>
      <c r="AS39" s="212"/>
      <c r="AT39" s="267"/>
      <c r="AU39" s="212"/>
      <c r="AV39" s="212"/>
      <c r="AW39" s="267"/>
      <c r="AX39" s="212"/>
      <c r="AY39" s="267"/>
    </row>
    <row r="40" spans="1:51" ht="31.5">
      <c r="A40" s="146" t="s">
        <v>576</v>
      </c>
      <c r="B40" s="38" t="s">
        <v>577</v>
      </c>
      <c r="C40" s="146"/>
      <c r="D40" s="146" t="s">
        <v>578</v>
      </c>
      <c r="E40" s="272">
        <v>1159.38</v>
      </c>
      <c r="F40" s="272">
        <v>825.36</v>
      </c>
      <c r="G40" s="273">
        <f>+F40/E40</f>
        <v>0.7118977384464109</v>
      </c>
      <c r="H40" s="272">
        <f>47+759.65-98.84</f>
        <v>707.81</v>
      </c>
      <c r="I40" s="272">
        <f>46.99+729.68-98.84</f>
        <v>677.8299999999999</v>
      </c>
      <c r="J40" s="273">
        <f>+I40/H40</f>
        <v>0.9576440005086111</v>
      </c>
      <c r="K40" s="274">
        <v>734.9</v>
      </c>
      <c r="L40" s="274">
        <v>685.1</v>
      </c>
      <c r="M40" s="273">
        <f>+L40/K40</f>
        <v>0.9322356783235815</v>
      </c>
      <c r="N40" s="274">
        <v>777.78</v>
      </c>
      <c r="O40" s="274">
        <v>601.15</v>
      </c>
      <c r="P40" s="273">
        <f>+O40/N40</f>
        <v>0.7729049345573298</v>
      </c>
      <c r="Q40" s="274">
        <f>608.48</f>
        <v>608.48</v>
      </c>
      <c r="R40" s="274">
        <v>545.62</v>
      </c>
      <c r="S40" s="273">
        <f>R40/Q40</f>
        <v>0.8966933999474099</v>
      </c>
      <c r="T40" s="274">
        <f>(144187+606522.05)/1000</f>
        <v>750.70905</v>
      </c>
      <c r="U40" s="274">
        <f>(144187+526362.87)/1000</f>
        <v>670.5498699999999</v>
      </c>
      <c r="V40" s="273">
        <f>U40/T40</f>
        <v>0.893222041215568</v>
      </c>
      <c r="W40" s="274">
        <f>(78900+90000+193678.17+548813+102420.56+26800)/1000</f>
        <v>1040.61173</v>
      </c>
      <c r="X40" s="274">
        <f>(78900+75000+102408.84+479721.85+193678.17+25081.52)/1000</f>
        <v>954.79038</v>
      </c>
      <c r="Y40" s="276">
        <f>X40/W40</f>
        <v>0.9175279813538139</v>
      </c>
      <c r="Z40" s="277">
        <f>(12722.97+636056+265318.18+18750)/1000</f>
        <v>932.8471499999999</v>
      </c>
      <c r="AA40" s="277">
        <f>(265135.91+523277.36+12720+18750)/1000</f>
        <v>819.88327</v>
      </c>
      <c r="AB40" s="278">
        <f>AA40/Z40</f>
        <v>0.8789041913243772</v>
      </c>
      <c r="AC40" s="212">
        <f>853533/1000</f>
        <v>853.533</v>
      </c>
      <c r="AD40" s="212">
        <f>(835621.16)/1000</f>
        <v>835.62116</v>
      </c>
      <c r="AE40" s="267">
        <f>AD40/AC40</f>
        <v>0.9790144727854694</v>
      </c>
      <c r="AF40" s="212"/>
      <c r="AG40" s="212"/>
      <c r="AH40" s="267"/>
      <c r="AI40" s="212"/>
      <c r="AJ40" s="267"/>
      <c r="AK40" s="212"/>
      <c r="AL40" s="212"/>
      <c r="AM40" s="267"/>
      <c r="AN40" s="212"/>
      <c r="AO40" s="267"/>
      <c r="AP40" s="212"/>
      <c r="AQ40" s="212"/>
      <c r="AR40" s="267"/>
      <c r="AS40" s="212"/>
      <c r="AT40" s="267"/>
      <c r="AU40" s="212"/>
      <c r="AV40" s="212"/>
      <c r="AW40" s="267"/>
      <c r="AX40" s="212"/>
      <c r="AY40" s="267"/>
    </row>
    <row r="41" spans="1:51" ht="15.75">
      <c r="A41" s="146"/>
      <c r="B41" s="38" t="s">
        <v>579</v>
      </c>
      <c r="C41" s="133">
        <v>227</v>
      </c>
      <c r="D41" s="146"/>
      <c r="E41" s="211"/>
      <c r="F41" s="211"/>
      <c r="G41" s="267"/>
      <c r="H41" s="211"/>
      <c r="I41" s="211"/>
      <c r="J41" s="267"/>
      <c r="K41" s="212"/>
      <c r="L41" s="212"/>
      <c r="M41" s="267"/>
      <c r="N41" s="212"/>
      <c r="O41" s="212"/>
      <c r="P41" s="267"/>
      <c r="Q41" s="212"/>
      <c r="R41" s="212"/>
      <c r="S41" s="267"/>
      <c r="T41" s="212"/>
      <c r="U41" s="212"/>
      <c r="V41" s="267"/>
      <c r="W41" s="212"/>
      <c r="X41" s="212"/>
      <c r="Y41" s="269"/>
      <c r="Z41" s="212"/>
      <c r="AA41" s="212"/>
      <c r="AB41" s="269"/>
      <c r="AC41" s="212"/>
      <c r="AD41" s="212"/>
      <c r="AE41" s="267"/>
      <c r="AF41" s="212">
        <v>4.8</v>
      </c>
      <c r="AG41" s="212">
        <v>0</v>
      </c>
      <c r="AH41" s="267">
        <f>AG41/AF41</f>
        <v>0</v>
      </c>
      <c r="AI41" s="212">
        <v>4.8</v>
      </c>
      <c r="AJ41" s="267">
        <f>+AI41/AF41</f>
        <v>1</v>
      </c>
      <c r="AK41" s="212">
        <f>4534.19/1000</f>
        <v>4.53419</v>
      </c>
      <c r="AL41" s="212">
        <v>0</v>
      </c>
      <c r="AM41" s="267">
        <f>AL41/AK41</f>
        <v>0</v>
      </c>
      <c r="AN41" s="212">
        <f>4534.19/1000</f>
        <v>4.53419</v>
      </c>
      <c r="AO41" s="267">
        <f>+AN41/AK41</f>
        <v>1</v>
      </c>
      <c r="AP41" s="212">
        <f>3902.82/1000</f>
        <v>3.90282</v>
      </c>
      <c r="AQ41" s="212">
        <v>0</v>
      </c>
      <c r="AR41" s="267">
        <f>AQ41/AP41</f>
        <v>0</v>
      </c>
      <c r="AS41" s="212">
        <f>3902.82/1000</f>
        <v>3.90282</v>
      </c>
      <c r="AT41" s="267">
        <f>+AS41/AP41</f>
        <v>1</v>
      </c>
      <c r="AU41" s="368">
        <f>5000/1000</f>
        <v>5</v>
      </c>
      <c r="AV41" s="212">
        <v>0</v>
      </c>
      <c r="AW41" s="267">
        <f>AV41/AU41</f>
        <v>0</v>
      </c>
      <c r="AX41" s="368">
        <v>0</v>
      </c>
      <c r="AY41" s="267">
        <f>+AX41/AU41</f>
        <v>0</v>
      </c>
    </row>
    <row r="42" spans="1:51" ht="31.5">
      <c r="A42" s="146"/>
      <c r="B42" s="38" t="s">
        <v>580</v>
      </c>
      <c r="C42" s="133">
        <v>228</v>
      </c>
      <c r="D42" s="146"/>
      <c r="E42" s="211"/>
      <c r="F42" s="211"/>
      <c r="G42" s="267"/>
      <c r="H42" s="211"/>
      <c r="I42" s="211"/>
      <c r="J42" s="267"/>
      <c r="K42" s="212"/>
      <c r="L42" s="212"/>
      <c r="M42" s="267"/>
      <c r="N42" s="212"/>
      <c r="O42" s="212"/>
      <c r="P42" s="267"/>
      <c r="Q42" s="212"/>
      <c r="R42" s="212"/>
      <c r="S42" s="267"/>
      <c r="T42" s="212"/>
      <c r="U42" s="212"/>
      <c r="V42" s="267"/>
      <c r="W42" s="212"/>
      <c r="X42" s="212"/>
      <c r="Y42" s="269"/>
      <c r="Z42" s="212"/>
      <c r="AA42" s="212"/>
      <c r="AB42" s="269"/>
      <c r="AC42" s="212"/>
      <c r="AD42" s="212"/>
      <c r="AE42" s="267"/>
      <c r="AF42" s="212">
        <v>3.7</v>
      </c>
      <c r="AG42" s="212"/>
      <c r="AH42" s="267"/>
      <c r="AI42" s="212">
        <v>3.7</v>
      </c>
      <c r="AJ42" s="267">
        <f>+AI42/AF42</f>
        <v>1</v>
      </c>
      <c r="AK42" s="212"/>
      <c r="AL42" s="212"/>
      <c r="AM42" s="267"/>
      <c r="AN42" s="212"/>
      <c r="AO42" s="267"/>
      <c r="AP42" s="212"/>
      <c r="AQ42" s="212"/>
      <c r="AR42" s="267"/>
      <c r="AS42" s="212"/>
      <c r="AT42" s="267"/>
      <c r="AU42" s="212"/>
      <c r="AV42" s="212"/>
      <c r="AW42" s="267"/>
      <c r="AX42" s="212"/>
      <c r="AY42" s="267"/>
    </row>
    <row r="43" spans="1:51" ht="31.5">
      <c r="A43" s="185" t="s">
        <v>581</v>
      </c>
      <c r="B43" s="258" t="s">
        <v>582</v>
      </c>
      <c r="C43" s="185">
        <v>260</v>
      </c>
      <c r="D43" s="185">
        <v>26000</v>
      </c>
      <c r="E43" s="279">
        <f>SUM(E44:E46)</f>
        <v>289119.58</v>
      </c>
      <c r="F43" s="279">
        <f>SUM(F44:F46)</f>
        <v>275608</v>
      </c>
      <c r="G43" s="260">
        <f>+F43/E43</f>
        <v>0.9532664650384453</v>
      </c>
      <c r="H43" s="279">
        <f>SUM(H44:H46)</f>
        <v>299571.29</v>
      </c>
      <c r="I43" s="279">
        <f>SUM(I44:I46)</f>
        <v>286439.63</v>
      </c>
      <c r="J43" s="260">
        <f>+I43/H43</f>
        <v>0.9561651585504072</v>
      </c>
      <c r="K43" s="279">
        <f>SUM(K44:K46)</f>
        <v>325759.92</v>
      </c>
      <c r="L43" s="279">
        <f>SUM(L44:L46)</f>
        <v>290827.76</v>
      </c>
      <c r="M43" s="260">
        <f>+L43/K43</f>
        <v>0.8927671642355512</v>
      </c>
      <c r="N43" s="279">
        <f>SUM(N44:N46)</f>
        <v>314803.82</v>
      </c>
      <c r="O43" s="279">
        <f>SUM(O44:O46)</f>
        <v>281583.00999999995</v>
      </c>
      <c r="P43" s="260">
        <f>+O43/N43</f>
        <v>0.8944713885619302</v>
      </c>
      <c r="Q43" s="279">
        <f>SUM(Q44:Q46)</f>
        <v>318451.42000000004</v>
      </c>
      <c r="R43" s="279">
        <f>SUM(R44:R46)</f>
        <v>312381.28</v>
      </c>
      <c r="S43" s="260">
        <f>+R43/Q43</f>
        <v>0.9809385682751862</v>
      </c>
      <c r="T43" s="279">
        <f>SUM(T44:T46)</f>
        <v>363221.58726</v>
      </c>
      <c r="U43" s="279">
        <f>SUM(U44:U46)</f>
        <v>355007.16735</v>
      </c>
      <c r="V43" s="260">
        <f>+U43/T43</f>
        <v>0.9773845492720674</v>
      </c>
      <c r="W43" s="279">
        <f>SUM(W44:W46)</f>
        <v>435796.11950000003</v>
      </c>
      <c r="X43" s="279">
        <f>SUM(X44:X46)</f>
        <v>426955.17208</v>
      </c>
      <c r="Y43" s="261">
        <f>+X43/W43</f>
        <v>0.9797131111902889</v>
      </c>
      <c r="Z43" s="259">
        <f>Z45+Z46</f>
        <v>450514.549</v>
      </c>
      <c r="AA43" s="259">
        <f>AA45+AA46</f>
        <v>441221.11185999995</v>
      </c>
      <c r="AB43" s="261">
        <f>AA43/Z43</f>
        <v>0.9793715049588775</v>
      </c>
      <c r="AC43" s="259">
        <f>AC44+AC45+AC46</f>
        <v>469722.09552</v>
      </c>
      <c r="AD43" s="259">
        <f>AD44+AD45+AD46</f>
        <v>453940.74927</v>
      </c>
      <c r="AE43" s="262">
        <f>AD43/AC43</f>
        <v>0.9664028019960835</v>
      </c>
      <c r="AF43" s="259">
        <f>AF44+AF45+AF46+AF48</f>
        <v>498506.90024000005</v>
      </c>
      <c r="AG43" s="259">
        <f>AG44+AG45+AG46+AG48</f>
        <v>246846.02094000002</v>
      </c>
      <c r="AH43" s="262">
        <f>AG43/AF43</f>
        <v>0.49517072044771904</v>
      </c>
      <c r="AI43" s="259">
        <f>AI44+AI45+AI46+AI48</f>
        <v>493532.95653</v>
      </c>
      <c r="AJ43" s="262">
        <f>+AI43/AF43</f>
        <v>0.990022317228497</v>
      </c>
      <c r="AK43" s="259">
        <f>AK44+AK45+AK46+AK48</f>
        <v>650526.6616700001</v>
      </c>
      <c r="AL43" s="259">
        <f>AL44+AL45+AL46+AL48</f>
        <v>246846.02094000002</v>
      </c>
      <c r="AM43" s="262">
        <f>AL43/AK43</f>
        <v>0.3794556556779841</v>
      </c>
      <c r="AN43" s="259">
        <f>AN44+AN45+AN46+AN48</f>
        <v>638062.1039599999</v>
      </c>
      <c r="AO43" s="262">
        <f>+AN43/AK43</f>
        <v>0.9808392823162669</v>
      </c>
      <c r="AP43" s="259">
        <f>AP44+AP45+AP46+AP48</f>
        <v>735503.5595600001</v>
      </c>
      <c r="AQ43" s="259">
        <f>AQ44+AQ45+AQ46+AQ48</f>
        <v>246846.02094000002</v>
      </c>
      <c r="AR43" s="262">
        <f>AQ43/AP43</f>
        <v>0.33561499156804975</v>
      </c>
      <c r="AS43" s="259">
        <f>AS44+AS45+AS46+AS48</f>
        <v>723084.2613299999</v>
      </c>
      <c r="AT43" s="262">
        <f>+AS43/AP43</f>
        <v>0.9831145640716821</v>
      </c>
      <c r="AU43" s="259">
        <f>AU44+AU45+AU46+AU47+AU48</f>
        <v>778798.00955</v>
      </c>
      <c r="AV43" s="259">
        <f>AV44+AV45+AV46+AV47+AV48</f>
        <v>246846.02094000002</v>
      </c>
      <c r="AW43" s="259">
        <f>AW44+AW45+AW46+AW47+AW48</f>
        <v>1.2201573878362209</v>
      </c>
      <c r="AX43" s="259">
        <f>AX44+AX45+AX46+AX47+AX48</f>
        <v>369842.07434000005</v>
      </c>
      <c r="AY43" s="262">
        <f>+AX43/AU43</f>
        <v>0.4748883148195253</v>
      </c>
    </row>
    <row r="44" spans="1:51" ht="47.25">
      <c r="A44" s="133" t="s">
        <v>583</v>
      </c>
      <c r="B44" s="57" t="s">
        <v>584</v>
      </c>
      <c r="C44" s="133">
        <v>261</v>
      </c>
      <c r="D44" s="133">
        <v>26100</v>
      </c>
      <c r="E44" s="272">
        <v>0</v>
      </c>
      <c r="F44" s="272">
        <v>0</v>
      </c>
      <c r="G44" s="273"/>
      <c r="H44" s="272">
        <v>0</v>
      </c>
      <c r="I44" s="272">
        <v>0</v>
      </c>
      <c r="J44" s="273"/>
      <c r="K44" s="274">
        <v>0</v>
      </c>
      <c r="L44" s="274">
        <v>0</v>
      </c>
      <c r="M44" s="273"/>
      <c r="N44" s="274">
        <v>0</v>
      </c>
      <c r="O44" s="274">
        <v>0</v>
      </c>
      <c r="P44" s="273"/>
      <c r="Q44" s="274"/>
      <c r="R44" s="274"/>
      <c r="S44" s="273"/>
      <c r="T44" s="274"/>
      <c r="U44" s="274"/>
      <c r="V44" s="273"/>
      <c r="W44" s="274"/>
      <c r="X44" s="274"/>
      <c r="Y44" s="276"/>
      <c r="Z44" s="277"/>
      <c r="AA44" s="277"/>
      <c r="AB44" s="280"/>
      <c r="AC44" s="212"/>
      <c r="AD44" s="212"/>
      <c r="AE44" s="267"/>
      <c r="AF44" s="212"/>
      <c r="AG44" s="212"/>
      <c r="AH44" s="267"/>
      <c r="AI44" s="212"/>
      <c r="AJ44" s="267"/>
      <c r="AK44" s="212"/>
      <c r="AL44" s="212"/>
      <c r="AM44" s="267"/>
      <c r="AN44" s="212"/>
      <c r="AO44" s="267"/>
      <c r="AP44" s="212"/>
      <c r="AQ44" s="212"/>
      <c r="AR44" s="267"/>
      <c r="AS44" s="212"/>
      <c r="AT44" s="267"/>
      <c r="AU44" s="212"/>
      <c r="AV44" s="212"/>
      <c r="AW44" s="267"/>
      <c r="AX44" s="212"/>
      <c r="AY44" s="267"/>
    </row>
    <row r="45" spans="1:51" ht="31.5">
      <c r="A45" s="133" t="s">
        <v>585</v>
      </c>
      <c r="B45" s="57" t="s">
        <v>586</v>
      </c>
      <c r="C45" s="133">
        <v>262</v>
      </c>
      <c r="D45" s="133">
        <v>26200</v>
      </c>
      <c r="E45" s="272">
        <v>269606.78</v>
      </c>
      <c r="F45" s="272">
        <v>256162.72</v>
      </c>
      <c r="G45" s="273">
        <f>+F45/E45</f>
        <v>0.950134562639708</v>
      </c>
      <c r="H45" s="272">
        <v>280585.79</v>
      </c>
      <c r="I45" s="272">
        <v>269022.99</v>
      </c>
      <c r="J45" s="273">
        <f>+I45/H45</f>
        <v>0.9587905004027467</v>
      </c>
      <c r="K45" s="274">
        <v>308488.51</v>
      </c>
      <c r="L45" s="274">
        <v>274063.81</v>
      </c>
      <c r="M45" s="273">
        <f>+L45/K45</f>
        <v>0.888408485619124</v>
      </c>
      <c r="N45" s="274">
        <v>294541.61</v>
      </c>
      <c r="O45" s="274">
        <v>263387.91</v>
      </c>
      <c r="P45" s="273">
        <f>+O45/N45</f>
        <v>0.8942298848709355</v>
      </c>
      <c r="Q45" s="274">
        <v>300127.58</v>
      </c>
      <c r="R45" s="274">
        <v>294060.81</v>
      </c>
      <c r="S45" s="273">
        <f>+R45/Q45</f>
        <v>0.9797860296611194</v>
      </c>
      <c r="T45" s="274">
        <f>345449051.26/1000</f>
        <v>345449.05126</v>
      </c>
      <c r="U45" s="274">
        <f>337604427.22/1000</f>
        <v>337604.42722</v>
      </c>
      <c r="V45" s="273">
        <f>+U45/T45</f>
        <v>0.9772915166176104</v>
      </c>
      <c r="W45" s="274">
        <f>399323533.5/1000</f>
        <v>399323.5335</v>
      </c>
      <c r="X45" s="274">
        <f>390495661.18/1000</f>
        <v>390495.66118</v>
      </c>
      <c r="Y45" s="276">
        <f>+X45/W45</f>
        <v>0.9778929324735127</v>
      </c>
      <c r="Z45" s="277">
        <v>406339.04</v>
      </c>
      <c r="AA45" s="277">
        <f>398631118.4/1000</f>
        <v>398631.1184</v>
      </c>
      <c r="AB45" s="278">
        <f>AA45/Z45</f>
        <v>0.9810308121021303</v>
      </c>
      <c r="AC45" s="212">
        <f>(421689895.52/1000)+5</f>
        <v>421694.89551999996</v>
      </c>
      <c r="AD45" s="212">
        <f>(409424813.78/1000)+4.99</f>
        <v>409429.80377999996</v>
      </c>
      <c r="AE45" s="267">
        <f>AD45/AC45</f>
        <v>0.9709147730496579</v>
      </c>
      <c r="AF45" s="212">
        <f>+(388783635.19-369000)/1000</f>
        <v>388414.63519</v>
      </c>
      <c r="AG45" s="212">
        <f>(193332809.55/1000)</f>
        <v>193332.80955</v>
      </c>
      <c r="AH45" s="267">
        <f>AG45/AF45</f>
        <v>0.497748519325045</v>
      </c>
      <c r="AI45" s="212">
        <f>(385876171.56-369000)/1000</f>
        <v>385507.17156</v>
      </c>
      <c r="AJ45" s="267">
        <f>+AI45/AF45</f>
        <v>0.9925145363573188</v>
      </c>
      <c r="AK45" s="212">
        <f>534914621.35/1000</f>
        <v>534914.62135</v>
      </c>
      <c r="AL45" s="212">
        <f>(193332809.55/1000)</f>
        <v>193332.80955</v>
      </c>
      <c r="AM45" s="267">
        <f>AL45/AK45</f>
        <v>0.3614274163268766</v>
      </c>
      <c r="AN45" s="212">
        <f>524657764.21/1000</f>
        <v>524657.7642099999</v>
      </c>
      <c r="AO45" s="267">
        <f>+AN45/AK45</f>
        <v>0.9808252443836473</v>
      </c>
      <c r="AP45" s="212">
        <f>605952610.33/1000</f>
        <v>605952.61033</v>
      </c>
      <c r="AQ45" s="212">
        <f>(193332809.55/1000)</f>
        <v>193332.80955</v>
      </c>
      <c r="AR45" s="267">
        <f>AQ45/AP45</f>
        <v>0.319055989287201</v>
      </c>
      <c r="AS45" s="212">
        <f>598377065.9/1000</f>
        <v>598377.0658999999</v>
      </c>
      <c r="AT45" s="267">
        <f>+AS45/AP45</f>
        <v>0.9874981239442562</v>
      </c>
      <c r="AU45" s="368">
        <f>647730075/1000</f>
        <v>647730.075</v>
      </c>
      <c r="AV45" s="212">
        <f>(193332809.55/1000)</f>
        <v>193332.80955</v>
      </c>
      <c r="AW45" s="267">
        <f>AV45/AU45</f>
        <v>0.29847743220816175</v>
      </c>
      <c r="AX45" s="368">
        <f>304585171.17/1000</f>
        <v>304585.17117000005</v>
      </c>
      <c r="AY45" s="267">
        <f aca="true" t="shared" si="12" ref="AY45:AY50">+AX45/AU45</f>
        <v>0.47023472110662773</v>
      </c>
    </row>
    <row r="46" spans="1:51" ht="47.25">
      <c r="A46" s="133" t="s">
        <v>587</v>
      </c>
      <c r="B46" s="57" t="s">
        <v>588</v>
      </c>
      <c r="C46" s="133">
        <v>263</v>
      </c>
      <c r="D46" s="133" t="s">
        <v>589</v>
      </c>
      <c r="E46" s="272">
        <v>19512.8</v>
      </c>
      <c r="F46" s="272">
        <v>19445.28</v>
      </c>
      <c r="G46" s="273">
        <f>+F46/E46</f>
        <v>0.9965397072690746</v>
      </c>
      <c r="H46" s="272">
        <v>18985.5</v>
      </c>
      <c r="I46" s="272">
        <v>17416.64</v>
      </c>
      <c r="J46" s="273">
        <f>+I46/H46</f>
        <v>0.9173653577730373</v>
      </c>
      <c r="K46" s="274">
        <v>17271.41</v>
      </c>
      <c r="L46" s="274">
        <v>16763.95</v>
      </c>
      <c r="M46" s="273">
        <f>+L46/K46</f>
        <v>0.9706184961158354</v>
      </c>
      <c r="N46" s="274">
        <v>20262.21</v>
      </c>
      <c r="O46" s="274">
        <v>18195.1</v>
      </c>
      <c r="P46" s="273">
        <f>+O46/N46</f>
        <v>0.8979820068985565</v>
      </c>
      <c r="Q46" s="274">
        <v>18323.84</v>
      </c>
      <c r="R46" s="274">
        <v>18320.47</v>
      </c>
      <c r="S46" s="273">
        <f>+R46/Q46</f>
        <v>0.9998160865844714</v>
      </c>
      <c r="T46" s="274">
        <f>17772536/1000</f>
        <v>17772.536</v>
      </c>
      <c r="U46" s="274">
        <f>17402740.13/1000</f>
        <v>17402.74013</v>
      </c>
      <c r="V46" s="273">
        <f>+U46/T46</f>
        <v>0.9791928473235333</v>
      </c>
      <c r="W46" s="274">
        <f>36472586/1000</f>
        <v>36472.586</v>
      </c>
      <c r="X46" s="274">
        <f>36459510.9/1000</f>
        <v>36459.5109</v>
      </c>
      <c r="Y46" s="276">
        <f>+X46/W46</f>
        <v>0.9996415088307694</v>
      </c>
      <c r="Z46" s="277">
        <f>44175509/1000</f>
        <v>44175.509</v>
      </c>
      <c r="AA46" s="277">
        <f>42589993.46/1000</f>
        <v>42589.99346</v>
      </c>
      <c r="AB46" s="278">
        <f>AA46/Z46</f>
        <v>0.9641087205129883</v>
      </c>
      <c r="AC46" s="212">
        <f>48027200/1000</f>
        <v>48027.2</v>
      </c>
      <c r="AD46" s="212">
        <f>44510945.49/1000</f>
        <v>44510.945490000006</v>
      </c>
      <c r="AE46" s="267">
        <f>AD46/AC46</f>
        <v>0.9267861855365295</v>
      </c>
      <c r="AF46" s="212">
        <f>110030292.91/1000</f>
        <v>110030.29290999999</v>
      </c>
      <c r="AG46" s="212">
        <f>53475897.36/1000</f>
        <v>53475.89736</v>
      </c>
      <c r="AH46" s="267">
        <f>AG46/AF46</f>
        <v>0.48601067892949235</v>
      </c>
      <c r="AI46" s="212">
        <f>107964162.18/1000</f>
        <v>107964.16218000001</v>
      </c>
      <c r="AJ46" s="267">
        <f>+AI46/AF46</f>
        <v>0.9812221645934363</v>
      </c>
      <c r="AK46" s="212">
        <f>115546593.1/1000</f>
        <v>115546.5931</v>
      </c>
      <c r="AL46" s="212">
        <f>53475897.36/1000</f>
        <v>53475.89736</v>
      </c>
      <c r="AM46" s="267">
        <f>AL46/AK46</f>
        <v>0.46280808395379686</v>
      </c>
      <c r="AN46" s="212">
        <f>113340113.5/1000</f>
        <v>113340.1135</v>
      </c>
      <c r="AO46" s="267">
        <f>+AN46/AK46</f>
        <v>0.9809039839185013</v>
      </c>
      <c r="AP46" s="212">
        <f>129480895/1000</f>
        <v>129480.895</v>
      </c>
      <c r="AQ46" s="212">
        <f>53475897.36/1000</f>
        <v>53475.89736</v>
      </c>
      <c r="AR46" s="267">
        <f>AQ46/AP46</f>
        <v>0.4130022221425022</v>
      </c>
      <c r="AS46" s="212">
        <f>124639369.26/1000</f>
        <v>124639.36926</v>
      </c>
      <c r="AT46" s="267">
        <f>+AS46/AP46</f>
        <v>0.9626081844738562</v>
      </c>
      <c r="AU46" s="368">
        <f>130933729/1000</f>
        <v>130933.729</v>
      </c>
      <c r="AV46" s="212">
        <f>53475897.36/1000</f>
        <v>53475.89736</v>
      </c>
      <c r="AW46" s="267">
        <f>AV46/AU46</f>
        <v>0.4084195704836299</v>
      </c>
      <c r="AX46" s="368">
        <f>65171606.36/1000</f>
        <v>65171.60636</v>
      </c>
      <c r="AY46" s="267">
        <f t="shared" si="12"/>
        <v>0.4977449802869358</v>
      </c>
    </row>
    <row r="47" spans="1:51" ht="15.75">
      <c r="A47" s="133"/>
      <c r="B47" s="57"/>
      <c r="C47" s="133">
        <v>265</v>
      </c>
      <c r="D47" s="133"/>
      <c r="E47" s="272"/>
      <c r="F47" s="272"/>
      <c r="G47" s="273"/>
      <c r="H47" s="272"/>
      <c r="I47" s="272"/>
      <c r="J47" s="273"/>
      <c r="K47" s="274"/>
      <c r="L47" s="274"/>
      <c r="M47" s="273"/>
      <c r="N47" s="274"/>
      <c r="O47" s="274"/>
      <c r="P47" s="273"/>
      <c r="Q47" s="274"/>
      <c r="R47" s="274"/>
      <c r="S47" s="273"/>
      <c r="T47" s="274"/>
      <c r="U47" s="274"/>
      <c r="V47" s="273"/>
      <c r="W47" s="274"/>
      <c r="X47" s="274"/>
      <c r="Y47" s="276"/>
      <c r="Z47" s="277"/>
      <c r="AA47" s="277"/>
      <c r="AB47" s="278"/>
      <c r="AC47" s="212"/>
      <c r="AD47" s="212"/>
      <c r="AE47" s="267"/>
      <c r="AF47" s="212"/>
      <c r="AG47" s="212"/>
      <c r="AH47" s="267"/>
      <c r="AI47" s="212"/>
      <c r="AJ47" s="267"/>
      <c r="AK47" s="212"/>
      <c r="AL47" s="212"/>
      <c r="AM47" s="267"/>
      <c r="AN47" s="212"/>
      <c r="AO47" s="267"/>
      <c r="AP47" s="212"/>
      <c r="AQ47" s="212"/>
      <c r="AR47" s="267"/>
      <c r="AS47" s="212"/>
      <c r="AT47" s="267"/>
      <c r="AU47" s="368">
        <f>61505.55/1000</f>
        <v>61.50555</v>
      </c>
      <c r="AV47" s="212"/>
      <c r="AW47" s="267"/>
      <c r="AX47" s="368">
        <f>61505.55/1000</f>
        <v>61.50555</v>
      </c>
      <c r="AY47" s="267">
        <f t="shared" si="12"/>
        <v>1</v>
      </c>
    </row>
    <row r="48" spans="1:51" ht="31.5">
      <c r="A48" s="133"/>
      <c r="B48" s="57" t="s">
        <v>590</v>
      </c>
      <c r="C48" s="133">
        <v>266</v>
      </c>
      <c r="D48" s="133"/>
      <c r="E48" s="272"/>
      <c r="F48" s="272"/>
      <c r="G48" s="273"/>
      <c r="H48" s="272"/>
      <c r="I48" s="272"/>
      <c r="J48" s="273"/>
      <c r="K48" s="274"/>
      <c r="L48" s="274"/>
      <c r="M48" s="273"/>
      <c r="N48" s="274"/>
      <c r="O48" s="274"/>
      <c r="P48" s="273"/>
      <c r="Q48" s="274"/>
      <c r="R48" s="274"/>
      <c r="S48" s="273"/>
      <c r="T48" s="274"/>
      <c r="U48" s="274"/>
      <c r="V48" s="273"/>
      <c r="W48" s="274"/>
      <c r="X48" s="274"/>
      <c r="Y48" s="276"/>
      <c r="Z48" s="277"/>
      <c r="AA48" s="277"/>
      <c r="AB48" s="278"/>
      <c r="AC48" s="212"/>
      <c r="AD48" s="212"/>
      <c r="AE48" s="267"/>
      <c r="AF48" s="212">
        <f>(59272.14+2700)/1000</f>
        <v>61.972139999999996</v>
      </c>
      <c r="AG48" s="212">
        <f>(36054.03+1260)/1000</f>
        <v>37.314029999999995</v>
      </c>
      <c r="AH48" s="267">
        <f>AG48/AF48</f>
        <v>0.6021097544799969</v>
      </c>
      <c r="AI48" s="212">
        <f>(2350.65+59272.14)/1000</f>
        <v>61.62279</v>
      </c>
      <c r="AJ48" s="267">
        <f>+AI48/AF48</f>
        <v>0.9943627894728181</v>
      </c>
      <c r="AK48" s="212">
        <f>65447.22/1000</f>
        <v>65.44722</v>
      </c>
      <c r="AL48" s="212">
        <f>(36054.03+1260)/1000</f>
        <v>37.314029999999995</v>
      </c>
      <c r="AM48" s="267">
        <f>AL48/AK48</f>
        <v>0.5701392664195667</v>
      </c>
      <c r="AN48" s="281">
        <f>64226.25/1000</f>
        <v>64.22625</v>
      </c>
      <c r="AO48" s="267">
        <f>+AN48/AK48</f>
        <v>0.9813442037721387</v>
      </c>
      <c r="AP48" s="212">
        <f>70054.23/1000</f>
        <v>70.05422999999999</v>
      </c>
      <c r="AQ48" s="212">
        <f>(36054.03+1260)/1000</f>
        <v>37.314029999999995</v>
      </c>
      <c r="AR48" s="267">
        <f>AQ48/AP48</f>
        <v>0.5326449237968928</v>
      </c>
      <c r="AS48" s="281">
        <f>67826.17/1000</f>
        <v>67.82617</v>
      </c>
      <c r="AT48" s="267">
        <f>+AS48/AP48</f>
        <v>0.968195211052923</v>
      </c>
      <c r="AU48" s="368">
        <f>(70000+2700)/1000</f>
        <v>72.7</v>
      </c>
      <c r="AV48" s="368">
        <f>(36054.03+1260)/1000</f>
        <v>37.314029999999995</v>
      </c>
      <c r="AW48" s="369">
        <f>AV48/AU48</f>
        <v>0.5132603851444291</v>
      </c>
      <c r="AX48" s="371">
        <f>23791.26/1000</f>
        <v>23.791259999999998</v>
      </c>
      <c r="AY48" s="267">
        <f t="shared" si="12"/>
        <v>0.32725254470426407</v>
      </c>
    </row>
    <row r="49" spans="1:51" ht="15.75">
      <c r="A49" s="185" t="s">
        <v>591</v>
      </c>
      <c r="B49" s="258" t="s">
        <v>592</v>
      </c>
      <c r="C49" s="185">
        <v>290</v>
      </c>
      <c r="D49" s="185">
        <v>29000</v>
      </c>
      <c r="E49" s="279">
        <f>SUM(E50:E53)</f>
        <v>8.5</v>
      </c>
      <c r="F49" s="279">
        <f>SUM(F50:F53)</f>
        <v>8.31</v>
      </c>
      <c r="G49" s="260">
        <f>+F49/E49</f>
        <v>0.9776470588235294</v>
      </c>
      <c r="H49" s="279">
        <f>SUM(H50:H53)</f>
        <v>20.54</v>
      </c>
      <c r="I49" s="279">
        <f>SUM(I50:I53)</f>
        <v>19.91</v>
      </c>
      <c r="J49" s="260">
        <f>+I49/H49</f>
        <v>0.9693281402142162</v>
      </c>
      <c r="K49" s="279">
        <f>SUM(K50:K53)</f>
        <v>5.47</v>
      </c>
      <c r="L49" s="279">
        <f>SUM(L50:L53)</f>
        <v>4.29</v>
      </c>
      <c r="M49" s="260">
        <f>+L49/K49</f>
        <v>0.7842778793418648</v>
      </c>
      <c r="N49" s="279">
        <f>SUM(N50:N53)</f>
        <v>153.47</v>
      </c>
      <c r="O49" s="279">
        <f>SUM(O50:O53)</f>
        <v>153.47</v>
      </c>
      <c r="P49" s="260">
        <f>+O49/N49</f>
        <v>1</v>
      </c>
      <c r="Q49" s="279">
        <f>SUM(Q50:Q53)</f>
        <v>16.51</v>
      </c>
      <c r="R49" s="279">
        <f>SUM(R50:R53)</f>
        <v>14.2</v>
      </c>
      <c r="S49" s="260">
        <f>+R49/Q49</f>
        <v>0.8600847970926709</v>
      </c>
      <c r="T49" s="279">
        <f>SUM(T50:T53)</f>
        <v>22.21</v>
      </c>
      <c r="U49" s="279">
        <f>SUM(U50:U53)</f>
        <v>18.01</v>
      </c>
      <c r="V49" s="260">
        <f>+U49/T49</f>
        <v>0.8108959927960379</v>
      </c>
      <c r="W49" s="279">
        <f>SUM(W50:W53)</f>
        <v>8.345279999999999</v>
      </c>
      <c r="X49" s="279">
        <f>SUM(X50:X53)</f>
        <v>7.54528</v>
      </c>
      <c r="Y49" s="261">
        <f>+X49/W49</f>
        <v>0.9041374285823844</v>
      </c>
      <c r="Z49" s="259">
        <f>SUM(Z50:Z53)</f>
        <v>25.119459999999997</v>
      </c>
      <c r="AA49" s="259">
        <f>SUM(AA50:AA53)</f>
        <v>22.36961</v>
      </c>
      <c r="AB49" s="261">
        <f>AA49/Z49</f>
        <v>0.8905290957687787</v>
      </c>
      <c r="AC49" s="259">
        <f>SUM(AC50:AC53)</f>
        <v>87.92918</v>
      </c>
      <c r="AD49" s="259">
        <f>SUM(AD50:AD53)</f>
        <v>84.32043</v>
      </c>
      <c r="AE49" s="262">
        <f>AD49/AC49</f>
        <v>0.9589584481511143</v>
      </c>
      <c r="AF49" s="259">
        <f>SUM(AF50:AF53)</f>
        <v>103.544</v>
      </c>
      <c r="AG49" s="259">
        <f>SUM(AG50:AG53)</f>
        <v>50.851</v>
      </c>
      <c r="AH49" s="262">
        <f>AG49/AF49</f>
        <v>0.49110523062659356</v>
      </c>
      <c r="AI49" s="259">
        <f>SUM(AI50:AI53)</f>
        <v>95.578</v>
      </c>
      <c r="AJ49" s="262">
        <f>+AI49/AF49</f>
        <v>0.9230665224445647</v>
      </c>
      <c r="AK49" s="259">
        <f>SUM(AK50:AK53)</f>
        <v>100.299</v>
      </c>
      <c r="AL49" s="259">
        <f>SUM(AL50:AL53)</f>
        <v>50.851</v>
      </c>
      <c r="AM49" s="262">
        <f>AL49/AK49</f>
        <v>0.5069940876778432</v>
      </c>
      <c r="AN49" s="259">
        <f>SUM(AN50:AN53)</f>
        <v>97.59823</v>
      </c>
      <c r="AO49" s="262">
        <f>+AN49/AK49</f>
        <v>0.9730728122912491</v>
      </c>
      <c r="AP49" s="259">
        <f>SUM(AP50:AP53)</f>
        <v>100.3</v>
      </c>
      <c r="AQ49" s="259">
        <f>SUM(AQ50:AQ53)</f>
        <v>50.851</v>
      </c>
      <c r="AR49" s="262">
        <f>AQ49/AP49</f>
        <v>0.5069890329012962</v>
      </c>
      <c r="AS49" s="259">
        <f>SUM(AS50:AS53)</f>
        <v>90.59596</v>
      </c>
      <c r="AT49" s="262">
        <f>+AS49/AP49</f>
        <v>0.9032498504486541</v>
      </c>
      <c r="AU49" s="259">
        <f>SUM(AU50:AU53)</f>
        <v>100.3</v>
      </c>
      <c r="AV49" s="259">
        <f>SUM(AV50:AV53)</f>
        <v>50.851</v>
      </c>
      <c r="AW49" s="262">
        <f>AV49/AU49</f>
        <v>0.5069890329012962</v>
      </c>
      <c r="AX49" s="259">
        <f>SUM(AX50:AX53)</f>
        <v>45.917</v>
      </c>
      <c r="AY49" s="262">
        <f t="shared" si="12"/>
        <v>0.4577966101694916</v>
      </c>
    </row>
    <row r="50" spans="1:51" ht="63">
      <c r="A50" s="146" t="s">
        <v>593</v>
      </c>
      <c r="B50" s="38" t="s">
        <v>594</v>
      </c>
      <c r="C50" s="133">
        <v>291</v>
      </c>
      <c r="D50" s="146" t="s">
        <v>595</v>
      </c>
      <c r="E50" s="211">
        <v>8.5</v>
      </c>
      <c r="F50" s="211">
        <v>8.31</v>
      </c>
      <c r="G50" s="267">
        <f>+F50/E50</f>
        <v>0.9776470588235294</v>
      </c>
      <c r="H50" s="211">
        <v>20.54</v>
      </c>
      <c r="I50" s="211">
        <v>19.91</v>
      </c>
      <c r="J50" s="267">
        <f>+I50/H50</f>
        <v>0.9693281402142162</v>
      </c>
      <c r="K50" s="212">
        <v>5.47</v>
      </c>
      <c r="L50" s="212">
        <v>4.29</v>
      </c>
      <c r="M50" s="267">
        <f>+L50/K50</f>
        <v>0.7842778793418648</v>
      </c>
      <c r="N50" s="212">
        <v>3.47</v>
      </c>
      <c r="O50" s="212">
        <v>3.47</v>
      </c>
      <c r="P50" s="267">
        <f>+O50/N50</f>
        <v>1</v>
      </c>
      <c r="Q50" s="212">
        <v>16.51</v>
      </c>
      <c r="R50" s="212">
        <v>14.2</v>
      </c>
      <c r="S50" s="267">
        <f>+R50/Q50</f>
        <v>0.8600847970926709</v>
      </c>
      <c r="T50" s="212">
        <f>13210/1000</f>
        <v>13.21</v>
      </c>
      <c r="U50" s="212">
        <f>13210/1000</f>
        <v>13.21</v>
      </c>
      <c r="V50" s="267">
        <f>+U50/T50</f>
        <v>1</v>
      </c>
      <c r="W50" s="212">
        <f>5145.28/1000</f>
        <v>5.14528</v>
      </c>
      <c r="X50" s="212">
        <f>4345.28/1000</f>
        <v>4.34528</v>
      </c>
      <c r="Y50" s="269">
        <f>+X50/W50</f>
        <v>0.8445176938864357</v>
      </c>
      <c r="Z50" s="212">
        <f>13119.46/1000</f>
        <v>13.119459999999998</v>
      </c>
      <c r="AA50" s="212">
        <f>11589.61/1000</f>
        <v>11.58961</v>
      </c>
      <c r="AB50" s="269">
        <f>AA50/Z50</f>
        <v>0.8833907798034372</v>
      </c>
      <c r="AC50" s="212">
        <f>85623.94/1000</f>
        <v>85.62394</v>
      </c>
      <c r="AD50" s="212">
        <f>82741.02/1000</f>
        <v>82.74102</v>
      </c>
      <c r="AE50" s="267">
        <f>AD50/AC50</f>
        <v>0.9663304444995173</v>
      </c>
      <c r="AF50" s="212">
        <v>103.544</v>
      </c>
      <c r="AG50" s="212">
        <f>50851/1000</f>
        <v>50.851</v>
      </c>
      <c r="AH50" s="267">
        <f>AG50/AF50</f>
        <v>0.49110523062659356</v>
      </c>
      <c r="AI50" s="212">
        <f>(90342+5236)/1000</f>
        <v>95.578</v>
      </c>
      <c r="AJ50" s="267">
        <f>+AI50/AF50</f>
        <v>0.9230665224445647</v>
      </c>
      <c r="AK50" s="212">
        <f>100299/1000</f>
        <v>100.299</v>
      </c>
      <c r="AL50" s="212">
        <f>50851/1000</f>
        <v>50.851</v>
      </c>
      <c r="AM50" s="267">
        <f>AL50/AK50</f>
        <v>0.5069940876778432</v>
      </c>
      <c r="AN50" s="212">
        <f>97598.23/1000</f>
        <v>97.59823</v>
      </c>
      <c r="AO50" s="267">
        <f>+AN50/AK50</f>
        <v>0.9730728122912491</v>
      </c>
      <c r="AP50" s="212">
        <f>100300/1000</f>
        <v>100.3</v>
      </c>
      <c r="AQ50" s="212">
        <f>50851/1000</f>
        <v>50.851</v>
      </c>
      <c r="AR50" s="267">
        <f>AQ50/AP50</f>
        <v>0.5069890329012962</v>
      </c>
      <c r="AS50" s="212">
        <f>90595.96/1000</f>
        <v>90.59596</v>
      </c>
      <c r="AT50" s="267">
        <f>+AS50/AP50</f>
        <v>0.9032498504486541</v>
      </c>
      <c r="AU50" s="368">
        <f>100300/1000</f>
        <v>100.3</v>
      </c>
      <c r="AV50" s="212">
        <f>50851/1000</f>
        <v>50.851</v>
      </c>
      <c r="AW50" s="267">
        <f>AV50/AU50</f>
        <v>0.5069890329012962</v>
      </c>
      <c r="AX50" s="368">
        <f>45917/1000</f>
        <v>45.917</v>
      </c>
      <c r="AY50" s="267">
        <f t="shared" si="12"/>
        <v>0.4577966101694916</v>
      </c>
    </row>
    <row r="51" spans="1:51" ht="15.75">
      <c r="A51" s="146" t="s">
        <v>596</v>
      </c>
      <c r="B51" s="38" t="s">
        <v>597</v>
      </c>
      <c r="C51" s="146"/>
      <c r="D51" s="146" t="s">
        <v>598</v>
      </c>
      <c r="E51" s="272">
        <v>0</v>
      </c>
      <c r="F51" s="272">
        <v>0</v>
      </c>
      <c r="G51" s="273"/>
      <c r="H51" s="272">
        <v>0</v>
      </c>
      <c r="I51" s="272">
        <v>0</v>
      </c>
      <c r="J51" s="273"/>
      <c r="K51" s="274">
        <v>0</v>
      </c>
      <c r="L51" s="274">
        <v>0</v>
      </c>
      <c r="M51" s="273"/>
      <c r="N51" s="274">
        <v>0</v>
      </c>
      <c r="O51" s="274">
        <v>0</v>
      </c>
      <c r="P51" s="273"/>
      <c r="Q51" s="274"/>
      <c r="R51" s="274"/>
      <c r="S51" s="273"/>
      <c r="T51" s="274"/>
      <c r="U51" s="274"/>
      <c r="V51" s="273"/>
      <c r="W51" s="274"/>
      <c r="X51" s="274"/>
      <c r="Y51" s="276"/>
      <c r="Z51" s="277"/>
      <c r="AA51" s="277"/>
      <c r="AB51" s="280"/>
      <c r="AC51" s="212"/>
      <c r="AD51" s="212"/>
      <c r="AE51" s="267"/>
      <c r="AF51" s="212"/>
      <c r="AG51" s="212"/>
      <c r="AH51" s="267"/>
      <c r="AI51" s="212"/>
      <c r="AJ51" s="267"/>
      <c r="AK51" s="212"/>
      <c r="AL51" s="212"/>
      <c r="AM51" s="267"/>
      <c r="AN51" s="212"/>
      <c r="AO51" s="267"/>
      <c r="AP51" s="212"/>
      <c r="AQ51" s="212"/>
      <c r="AR51" s="267"/>
      <c r="AS51" s="212"/>
      <c r="AT51" s="267"/>
      <c r="AU51" s="212"/>
      <c r="AV51" s="212"/>
      <c r="AW51" s="267"/>
      <c r="AX51" s="212"/>
      <c r="AY51" s="267"/>
    </row>
    <row r="52" spans="1:51" ht="78.75">
      <c r="A52" s="146" t="s">
        <v>599</v>
      </c>
      <c r="B52" s="38" t="s">
        <v>600</v>
      </c>
      <c r="C52" s="146"/>
      <c r="D52" s="146" t="s">
        <v>601</v>
      </c>
      <c r="E52" s="272">
        <v>0</v>
      </c>
      <c r="F52" s="272">
        <v>0</v>
      </c>
      <c r="G52" s="273"/>
      <c r="H52" s="272">
        <v>0</v>
      </c>
      <c r="I52" s="272">
        <v>0</v>
      </c>
      <c r="J52" s="273"/>
      <c r="K52" s="274">
        <v>0</v>
      </c>
      <c r="L52" s="274">
        <v>0</v>
      </c>
      <c r="M52" s="273"/>
      <c r="N52" s="274">
        <v>0</v>
      </c>
      <c r="O52" s="274">
        <v>0</v>
      </c>
      <c r="P52" s="273"/>
      <c r="Q52" s="274"/>
      <c r="R52" s="274"/>
      <c r="S52" s="273"/>
      <c r="T52" s="274"/>
      <c r="U52" s="274"/>
      <c r="V52" s="273"/>
      <c r="W52" s="274"/>
      <c r="X52" s="274"/>
      <c r="Y52" s="276"/>
      <c r="Z52" s="277"/>
      <c r="AA52" s="277"/>
      <c r="AB52" s="280"/>
      <c r="AC52" s="212"/>
      <c r="AD52" s="212"/>
      <c r="AE52" s="267"/>
      <c r="AF52" s="212"/>
      <c r="AG52" s="212"/>
      <c r="AH52" s="267"/>
      <c r="AI52" s="212"/>
      <c r="AJ52" s="267"/>
      <c r="AK52" s="212"/>
      <c r="AL52" s="212"/>
      <c r="AM52" s="267"/>
      <c r="AN52" s="212"/>
      <c r="AO52" s="267"/>
      <c r="AP52" s="212"/>
      <c r="AQ52" s="212"/>
      <c r="AR52" s="267"/>
      <c r="AS52" s="212"/>
      <c r="AT52" s="267"/>
      <c r="AU52" s="212"/>
      <c r="AV52" s="212"/>
      <c r="AW52" s="267"/>
      <c r="AX52" s="212"/>
      <c r="AY52" s="267"/>
    </row>
    <row r="53" spans="1:51" ht="15.75">
      <c r="A53" s="146" t="s">
        <v>602</v>
      </c>
      <c r="B53" s="38" t="s">
        <v>603</v>
      </c>
      <c r="C53" s="146">
        <v>296</v>
      </c>
      <c r="D53" s="146" t="s">
        <v>604</v>
      </c>
      <c r="E53" s="211">
        <v>0</v>
      </c>
      <c r="F53" s="211">
        <v>0</v>
      </c>
      <c r="G53" s="267"/>
      <c r="H53" s="211">
        <v>0</v>
      </c>
      <c r="I53" s="211">
        <v>0</v>
      </c>
      <c r="J53" s="267"/>
      <c r="K53" s="212">
        <v>0</v>
      </c>
      <c r="L53" s="212">
        <v>0</v>
      </c>
      <c r="M53" s="267"/>
      <c r="N53" s="212">
        <v>150</v>
      </c>
      <c r="O53" s="212">
        <v>150</v>
      </c>
      <c r="P53" s="267">
        <f>+O53/N53</f>
        <v>1</v>
      </c>
      <c r="Q53" s="212"/>
      <c r="R53" s="212"/>
      <c r="S53" s="267"/>
      <c r="T53" s="212">
        <v>9</v>
      </c>
      <c r="U53" s="212">
        <f>4800/1000</f>
        <v>4.8</v>
      </c>
      <c r="V53" s="267">
        <f>+U53/T53</f>
        <v>0.5333333333333333</v>
      </c>
      <c r="W53" s="212">
        <v>3.2</v>
      </c>
      <c r="X53" s="212">
        <f>3200/1000</f>
        <v>3.2</v>
      </c>
      <c r="Y53" s="269">
        <f>+X53/W53</f>
        <v>1</v>
      </c>
      <c r="Z53" s="212">
        <f>12000/1000</f>
        <v>12</v>
      </c>
      <c r="AA53" s="212">
        <f>10780/1000</f>
        <v>10.78</v>
      </c>
      <c r="AB53" s="269">
        <f>AA53/Z53</f>
        <v>0.8983333333333333</v>
      </c>
      <c r="AC53" s="212">
        <f>2305.24/1000</f>
        <v>2.30524</v>
      </c>
      <c r="AD53" s="212">
        <f>1579.41/1000</f>
        <v>1.57941</v>
      </c>
      <c r="AE53" s="267">
        <f>AD53/AC53</f>
        <v>0.6851390744564557</v>
      </c>
      <c r="AF53" s="271"/>
      <c r="AG53" s="271"/>
      <c r="AH53" s="267"/>
      <c r="AI53" s="271"/>
      <c r="AJ53" s="267"/>
      <c r="AK53" s="212"/>
      <c r="AL53" s="212"/>
      <c r="AM53" s="267"/>
      <c r="AN53" s="212"/>
      <c r="AO53" s="267"/>
      <c r="AP53" s="212"/>
      <c r="AQ53" s="212"/>
      <c r="AR53" s="267"/>
      <c r="AS53" s="212"/>
      <c r="AT53" s="267"/>
      <c r="AU53" s="212"/>
      <c r="AV53" s="212"/>
      <c r="AW53" s="267"/>
      <c r="AX53" s="212"/>
      <c r="AY53" s="267"/>
    </row>
    <row r="54" spans="1:51" ht="31.5">
      <c r="A54" s="252" t="s">
        <v>5</v>
      </c>
      <c r="B54" s="253" t="s">
        <v>605</v>
      </c>
      <c r="C54" s="252">
        <v>300</v>
      </c>
      <c r="D54" s="252">
        <v>30000</v>
      </c>
      <c r="E54" s="254">
        <f>+E55+E62+E63</f>
        <v>302.59000000000003</v>
      </c>
      <c r="F54" s="254">
        <f>+F55+F62+F63</f>
        <v>289.4</v>
      </c>
      <c r="G54" s="255">
        <f>+F54/E54</f>
        <v>0.9564096632406885</v>
      </c>
      <c r="H54" s="254">
        <f>+H55+H62+H63</f>
        <v>739</v>
      </c>
      <c r="I54" s="254">
        <f>+I55+I62+I63</f>
        <v>709.4200000000001</v>
      </c>
      <c r="J54" s="255">
        <f>+I54/H54</f>
        <v>0.9599729364005414</v>
      </c>
      <c r="K54" s="254">
        <f>+K55+K62+K63</f>
        <v>586.04</v>
      </c>
      <c r="L54" s="254">
        <f>+L55+L62+L63</f>
        <v>578.02</v>
      </c>
      <c r="M54" s="255">
        <f>+L54/K54</f>
        <v>0.9863149273087162</v>
      </c>
      <c r="N54" s="254">
        <f>+N55+N62+N63</f>
        <v>493.8</v>
      </c>
      <c r="O54" s="254">
        <f>+O55+O62+O63</f>
        <v>493.8</v>
      </c>
      <c r="P54" s="255">
        <f>+O54/N54</f>
        <v>1</v>
      </c>
      <c r="Q54" s="254">
        <f>+Q55+Q62+Q63</f>
        <v>725.3499999999999</v>
      </c>
      <c r="R54" s="254">
        <f>+R55+R62+R63</f>
        <v>721.04</v>
      </c>
      <c r="S54" s="255">
        <f>+R54/Q54</f>
        <v>0.9940580409457505</v>
      </c>
      <c r="T54" s="254">
        <f>+T55+T62+T63</f>
        <v>792.36461</v>
      </c>
      <c r="U54" s="254">
        <f>+U55+U62+U63</f>
        <v>792.36461</v>
      </c>
      <c r="V54" s="255">
        <f>+U54/T54</f>
        <v>1</v>
      </c>
      <c r="W54" s="254">
        <f>+W55+W62+W63</f>
        <v>1016.2521099999999</v>
      </c>
      <c r="X54" s="254">
        <f>+X55+X62+X63</f>
        <v>1016.1192000000001</v>
      </c>
      <c r="Y54" s="256">
        <f>+X54/W54</f>
        <v>0.9998692155236953</v>
      </c>
      <c r="Z54" s="254">
        <f>+Z55+Z62+Z63</f>
        <v>1291.24937</v>
      </c>
      <c r="AA54" s="254">
        <f>+AA55+AA62+AA63</f>
        <v>1168.7728299999999</v>
      </c>
      <c r="AB54" s="256">
        <f>AA54/Z54</f>
        <v>0.9051488094820909</v>
      </c>
      <c r="AC54" s="254">
        <f>AC55+AC62+AC63</f>
        <v>1791.3193099999999</v>
      </c>
      <c r="AD54" s="254">
        <f>AD55+AD62+AD63</f>
        <v>1791.25182</v>
      </c>
      <c r="AE54" s="257">
        <f>AD54/AC54</f>
        <v>0.9999623238583858</v>
      </c>
      <c r="AF54" s="254">
        <f>AF55+AF62+AF63</f>
        <v>718.06565</v>
      </c>
      <c r="AG54" s="254">
        <f>AG55+AG62+AG63</f>
        <v>320.68205</v>
      </c>
      <c r="AH54" s="257">
        <f>AG54/AF54</f>
        <v>0.44659154772269083</v>
      </c>
      <c r="AI54" s="254">
        <f>AI55+AI62+AI63</f>
        <v>709.80922</v>
      </c>
      <c r="AJ54" s="257">
        <f>+AI54/AF54</f>
        <v>0.9885018452003657</v>
      </c>
      <c r="AK54" s="254">
        <f>AK55+AK62+AK63</f>
        <v>963.19912</v>
      </c>
      <c r="AL54" s="254">
        <f>AL55+AL62+AL63</f>
        <v>320.68205</v>
      </c>
      <c r="AM54" s="257">
        <f>AL54/AK54</f>
        <v>0.3329343261858462</v>
      </c>
      <c r="AN54" s="254">
        <f>AN55+AN62+AN63</f>
        <v>963.19911</v>
      </c>
      <c r="AO54" s="257">
        <f>+AN54/AK54</f>
        <v>0.9999999896179308</v>
      </c>
      <c r="AP54" s="254">
        <f>AP55+AP62+AP63</f>
        <v>728.49162</v>
      </c>
      <c r="AQ54" s="254">
        <f>AQ55+AQ62+AQ63</f>
        <v>320.68205</v>
      </c>
      <c r="AR54" s="257">
        <f>AQ54/AP54</f>
        <v>0.44020005336506135</v>
      </c>
      <c r="AS54" s="254">
        <f>AS55+AS62+AS63</f>
        <v>725.44074</v>
      </c>
      <c r="AT54" s="257">
        <f>+AS54/AP54</f>
        <v>0.9958120588950632</v>
      </c>
      <c r="AU54" s="254">
        <f>AU55+AU62+AU63</f>
        <v>865.4966300000001</v>
      </c>
      <c r="AV54" s="254">
        <f>AV55+AV62+AV63</f>
        <v>320.68205</v>
      </c>
      <c r="AW54" s="257">
        <f>AV54/AU54</f>
        <v>0.3705179649284134</v>
      </c>
      <c r="AX54" s="254">
        <f>AX55+AX62+AX63</f>
        <v>701.6656</v>
      </c>
      <c r="AY54" s="257">
        <f>+AX54/AU54</f>
        <v>0.8107086448158671</v>
      </c>
    </row>
    <row r="55" spans="1:51" ht="31.5">
      <c r="A55" s="185" t="s">
        <v>606</v>
      </c>
      <c r="B55" s="258" t="s">
        <v>607</v>
      </c>
      <c r="C55" s="185">
        <v>310</v>
      </c>
      <c r="D55" s="185">
        <v>31000</v>
      </c>
      <c r="E55" s="279">
        <f>SUM(E56:E61)</f>
        <v>50</v>
      </c>
      <c r="F55" s="279">
        <f>SUM(F56:F61)</f>
        <v>50</v>
      </c>
      <c r="G55" s="260">
        <f>+F55/E55</f>
        <v>1</v>
      </c>
      <c r="H55" s="279">
        <f>SUM(H56:H61)</f>
        <v>400</v>
      </c>
      <c r="I55" s="279">
        <f>SUM(I56:I61)</f>
        <v>370.42</v>
      </c>
      <c r="J55" s="260">
        <f>+I55/H55</f>
        <v>0.92605</v>
      </c>
      <c r="K55" s="279">
        <f>SUM(K56:K61)</f>
        <v>95.1</v>
      </c>
      <c r="L55" s="279">
        <f>SUM(L56:L61)</f>
        <v>95.1</v>
      </c>
      <c r="M55" s="260">
        <f>+L55/K55</f>
        <v>1</v>
      </c>
      <c r="N55" s="279">
        <f>SUM(N56:N61)</f>
        <v>0</v>
      </c>
      <c r="O55" s="279">
        <f>SUM(O56:O61)</f>
        <v>0</v>
      </c>
      <c r="P55" s="260"/>
      <c r="Q55" s="279">
        <f>SUM(Q56:Q61)</f>
        <v>210.82</v>
      </c>
      <c r="R55" s="279">
        <f>SUM(R56:R61)</f>
        <v>210.62</v>
      </c>
      <c r="S55" s="260"/>
      <c r="T55" s="279">
        <f>SUM(T56:T61)</f>
        <v>232.72400000000002</v>
      </c>
      <c r="U55" s="279">
        <f>SUM(U56:U61)</f>
        <v>232.72400000000002</v>
      </c>
      <c r="V55" s="260"/>
      <c r="W55" s="279">
        <f>SUM(W56:W61)</f>
        <v>533.1644799999999</v>
      </c>
      <c r="X55" s="279">
        <f>SUM(X56:X61)</f>
        <v>533.05448</v>
      </c>
      <c r="Y55" s="261"/>
      <c r="Z55" s="259">
        <f>SUM(Z56:Z61)</f>
        <v>775.1397</v>
      </c>
      <c r="AA55" s="259">
        <f>SUM(AA56:AA61)</f>
        <v>652.6631600000001</v>
      </c>
      <c r="AB55" s="261">
        <f>AA55/Z55</f>
        <v>0.8419942366517934</v>
      </c>
      <c r="AC55" s="259">
        <f>SUM(AC56:AC61)</f>
        <v>1142.7091899999998</v>
      </c>
      <c r="AD55" s="259">
        <f>SUM(AD56:AD61)</f>
        <v>1142.7091899999998</v>
      </c>
      <c r="AE55" s="262">
        <f>AD55/AC55</f>
        <v>1</v>
      </c>
      <c r="AF55" s="259">
        <v>253.644</v>
      </c>
      <c r="AG55" s="259">
        <f>72772/1000</f>
        <v>72.772</v>
      </c>
      <c r="AH55" s="262">
        <f>AG55/AF55</f>
        <v>0.28690605730866886</v>
      </c>
      <c r="AI55" s="259">
        <f>253643.63/1000</f>
        <v>253.64363</v>
      </c>
      <c r="AJ55" s="262">
        <f>+AI55/AF55</f>
        <v>0.9999985412625569</v>
      </c>
      <c r="AK55" s="259">
        <f>327332.83/1000</f>
        <v>327.33283</v>
      </c>
      <c r="AL55" s="259">
        <f>72772/1000</f>
        <v>72.772</v>
      </c>
      <c r="AM55" s="262">
        <f>AL55/AK55</f>
        <v>0.22231806079457414</v>
      </c>
      <c r="AN55" s="259">
        <f>327332.83/1000</f>
        <v>327.33283</v>
      </c>
      <c r="AO55" s="262">
        <f>+AN55/AK55</f>
        <v>1</v>
      </c>
      <c r="AP55" s="259">
        <f>261781.09/1000</f>
        <v>261.78109</v>
      </c>
      <c r="AQ55" s="259">
        <f>72772/1000</f>
        <v>72.772</v>
      </c>
      <c r="AR55" s="262">
        <f>AQ55/AP55</f>
        <v>0.2779879937087893</v>
      </c>
      <c r="AS55" s="259">
        <f>261730.31/1000</f>
        <v>261.73031</v>
      </c>
      <c r="AT55" s="262">
        <f>+AS55/AP55</f>
        <v>0.9998060211300975</v>
      </c>
      <c r="AU55" s="372">
        <f>341349.34/1000</f>
        <v>341.34934000000004</v>
      </c>
      <c r="AV55" s="259">
        <f>72772/1000</f>
        <v>72.772</v>
      </c>
      <c r="AW55" s="262">
        <f>AV55/AU55</f>
        <v>0.21318922134139764</v>
      </c>
      <c r="AX55" s="372">
        <f>318809.2/1000</f>
        <v>318.80920000000003</v>
      </c>
      <c r="AY55" s="262">
        <f>+AX55/AU55</f>
        <v>0.9339675301554706</v>
      </c>
    </row>
    <row r="56" spans="1:51" ht="31.5">
      <c r="A56" s="146" t="s">
        <v>608</v>
      </c>
      <c r="B56" s="38" t="s">
        <v>609</v>
      </c>
      <c r="C56" s="146"/>
      <c r="D56" s="146" t="s">
        <v>610</v>
      </c>
      <c r="E56" s="272">
        <v>0</v>
      </c>
      <c r="F56" s="272">
        <v>0</v>
      </c>
      <c r="G56" s="273"/>
      <c r="H56" s="272">
        <v>0</v>
      </c>
      <c r="I56" s="272">
        <v>0</v>
      </c>
      <c r="J56" s="273"/>
      <c r="K56" s="274">
        <v>0</v>
      </c>
      <c r="L56" s="274">
        <v>0</v>
      </c>
      <c r="M56" s="273"/>
      <c r="N56" s="274">
        <v>0</v>
      </c>
      <c r="O56" s="274">
        <v>0</v>
      </c>
      <c r="P56" s="273"/>
      <c r="Q56" s="274">
        <v>0</v>
      </c>
      <c r="R56" s="274">
        <v>0</v>
      </c>
      <c r="S56" s="273"/>
      <c r="T56" s="274">
        <v>0</v>
      </c>
      <c r="U56" s="274">
        <v>0</v>
      </c>
      <c r="V56" s="273"/>
      <c r="W56" s="274">
        <v>0</v>
      </c>
      <c r="X56" s="274">
        <v>0</v>
      </c>
      <c r="Y56" s="276"/>
      <c r="Z56" s="277"/>
      <c r="AA56" s="277"/>
      <c r="AB56" s="280"/>
      <c r="AC56" s="212">
        <f>650000/1000</f>
        <v>650</v>
      </c>
      <c r="AD56" s="212">
        <f>650000/1000</f>
        <v>650</v>
      </c>
      <c r="AE56" s="267">
        <f>AD56/AC56</f>
        <v>1</v>
      </c>
      <c r="AF56" s="212"/>
      <c r="AG56" s="212"/>
      <c r="AH56" s="267"/>
      <c r="AI56" s="212"/>
      <c r="AJ56" s="267"/>
      <c r="AK56" s="212"/>
      <c r="AL56" s="212"/>
      <c r="AM56" s="267"/>
      <c r="AN56" s="212"/>
      <c r="AO56" s="267"/>
      <c r="AP56" s="212"/>
      <c r="AQ56" s="212"/>
      <c r="AR56" s="267"/>
      <c r="AS56" s="212"/>
      <c r="AT56" s="267"/>
      <c r="AU56" s="212"/>
      <c r="AV56" s="212"/>
      <c r="AW56" s="267"/>
      <c r="AX56" s="212"/>
      <c r="AY56" s="267"/>
    </row>
    <row r="57" spans="1:51" ht="15.75">
      <c r="A57" s="146" t="s">
        <v>611</v>
      </c>
      <c r="B57" s="38" t="s">
        <v>612</v>
      </c>
      <c r="C57" s="146"/>
      <c r="D57" s="146" t="s">
        <v>613</v>
      </c>
      <c r="E57" s="272">
        <v>0</v>
      </c>
      <c r="F57" s="272">
        <v>0</v>
      </c>
      <c r="G57" s="273"/>
      <c r="H57" s="272">
        <v>0</v>
      </c>
      <c r="I57" s="272">
        <v>0</v>
      </c>
      <c r="J57" s="273"/>
      <c r="K57" s="274">
        <v>0</v>
      </c>
      <c r="L57" s="274">
        <v>0</v>
      </c>
      <c r="M57" s="273"/>
      <c r="N57" s="274">
        <v>0</v>
      </c>
      <c r="O57" s="274">
        <v>0</v>
      </c>
      <c r="P57" s="273"/>
      <c r="Q57" s="274">
        <v>0</v>
      </c>
      <c r="R57" s="274">
        <v>0</v>
      </c>
      <c r="S57" s="273"/>
      <c r="T57" s="274">
        <v>0</v>
      </c>
      <c r="U57" s="274">
        <v>0</v>
      </c>
      <c r="V57" s="273"/>
      <c r="W57" s="274">
        <v>0</v>
      </c>
      <c r="X57" s="274">
        <v>0</v>
      </c>
      <c r="Y57" s="276"/>
      <c r="Z57" s="277">
        <f>5500/1000</f>
        <v>5.5</v>
      </c>
      <c r="AA57" s="277">
        <f>5500/1000</f>
        <v>5.5</v>
      </c>
      <c r="AB57" s="278">
        <f>AA57/Z57</f>
        <v>1</v>
      </c>
      <c r="AC57" s="212"/>
      <c r="AD57" s="212"/>
      <c r="AE57" s="267"/>
      <c r="AF57" s="212"/>
      <c r="AG57" s="212"/>
      <c r="AH57" s="267"/>
      <c r="AI57" s="212"/>
      <c r="AJ57" s="267"/>
      <c r="AK57" s="212"/>
      <c r="AL57" s="212"/>
      <c r="AM57" s="267"/>
      <c r="AN57" s="212"/>
      <c r="AO57" s="267"/>
      <c r="AP57" s="212"/>
      <c r="AQ57" s="212"/>
      <c r="AR57" s="267"/>
      <c r="AS57" s="212"/>
      <c r="AT57" s="267"/>
      <c r="AU57" s="212"/>
      <c r="AV57" s="212"/>
      <c r="AW57" s="267"/>
      <c r="AX57" s="212"/>
      <c r="AY57" s="267"/>
    </row>
    <row r="58" spans="1:51" ht="31.5">
      <c r="A58" s="146" t="s">
        <v>614</v>
      </c>
      <c r="B58" s="38" t="s">
        <v>615</v>
      </c>
      <c r="C58" s="146"/>
      <c r="D58" s="146" t="s">
        <v>616</v>
      </c>
      <c r="E58" s="272">
        <v>0</v>
      </c>
      <c r="F58" s="272">
        <v>0</v>
      </c>
      <c r="G58" s="273"/>
      <c r="H58" s="272">
        <v>0</v>
      </c>
      <c r="I58" s="272">
        <v>0</v>
      </c>
      <c r="J58" s="273"/>
      <c r="K58" s="274">
        <v>0</v>
      </c>
      <c r="L58" s="274">
        <v>0</v>
      </c>
      <c r="M58" s="273"/>
      <c r="N58" s="274">
        <v>0</v>
      </c>
      <c r="O58" s="274">
        <v>0</v>
      </c>
      <c r="P58" s="273"/>
      <c r="Q58" s="274">
        <v>0</v>
      </c>
      <c r="R58" s="274">
        <v>0</v>
      </c>
      <c r="S58" s="273"/>
      <c r="T58" s="274">
        <v>0</v>
      </c>
      <c r="U58" s="274">
        <v>0</v>
      </c>
      <c r="V58" s="273"/>
      <c r="W58" s="274">
        <v>0</v>
      </c>
      <c r="X58" s="274">
        <v>0</v>
      </c>
      <c r="Y58" s="276"/>
      <c r="Z58" s="277"/>
      <c r="AA58" s="277"/>
      <c r="AB58" s="280"/>
      <c r="AC58" s="212"/>
      <c r="AD58" s="212"/>
      <c r="AE58" s="267"/>
      <c r="AF58" s="212"/>
      <c r="AG58" s="212"/>
      <c r="AH58" s="267"/>
      <c r="AI58" s="212"/>
      <c r="AJ58" s="267"/>
      <c r="AK58" s="212"/>
      <c r="AL58" s="212"/>
      <c r="AM58" s="267"/>
      <c r="AN58" s="212"/>
      <c r="AO58" s="267"/>
      <c r="AP58" s="212"/>
      <c r="AQ58" s="212"/>
      <c r="AR58" s="267"/>
      <c r="AS58" s="212"/>
      <c r="AT58" s="267"/>
      <c r="AU58" s="212"/>
      <c r="AV58" s="212"/>
      <c r="AW58" s="267"/>
      <c r="AX58" s="212"/>
      <c r="AY58" s="267"/>
    </row>
    <row r="59" spans="1:51" ht="15.75">
      <c r="A59" s="146" t="s">
        <v>617</v>
      </c>
      <c r="B59" s="38" t="s">
        <v>618</v>
      </c>
      <c r="C59" s="146"/>
      <c r="D59" s="146" t="s">
        <v>619</v>
      </c>
      <c r="E59" s="272">
        <v>50</v>
      </c>
      <c r="F59" s="272">
        <v>50</v>
      </c>
      <c r="G59" s="273">
        <f>+F59/E59</f>
        <v>1</v>
      </c>
      <c r="H59" s="272">
        <v>400</v>
      </c>
      <c r="I59" s="272">
        <v>370.42</v>
      </c>
      <c r="J59" s="273">
        <f>+I59/H59</f>
        <v>0.92605</v>
      </c>
      <c r="K59" s="274">
        <v>0</v>
      </c>
      <c r="L59" s="274">
        <v>0</v>
      </c>
      <c r="M59" s="273"/>
      <c r="N59" s="274">
        <v>0</v>
      </c>
      <c r="O59" s="274">
        <v>0</v>
      </c>
      <c r="P59" s="273"/>
      <c r="Q59" s="274">
        <v>111.82</v>
      </c>
      <c r="R59" s="274">
        <v>111.82</v>
      </c>
      <c r="S59" s="273">
        <f>+R59/Q59</f>
        <v>1</v>
      </c>
      <c r="T59" s="274">
        <f>230924/1000</f>
        <v>230.924</v>
      </c>
      <c r="U59" s="274">
        <f>230924/1000</f>
        <v>230.924</v>
      </c>
      <c r="V59" s="273">
        <f>+U59/T59</f>
        <v>1</v>
      </c>
      <c r="W59" s="274">
        <f>(442164.48+17500)/1000</f>
        <v>459.66447999999997</v>
      </c>
      <c r="X59" s="274">
        <f>(17500+442164.48)/1000</f>
        <v>459.66447999999997</v>
      </c>
      <c r="Y59" s="276">
        <f>+X59/W59</f>
        <v>1</v>
      </c>
      <c r="Z59" s="277">
        <f>(238709.9+320929.8)/1000</f>
        <v>559.6397</v>
      </c>
      <c r="AA59" s="277">
        <f>(238709.9+232945.26)/1000</f>
        <v>471.65516</v>
      </c>
      <c r="AB59" s="278">
        <f>AA59/Z59</f>
        <v>0.8427835980899855</v>
      </c>
      <c r="AC59" s="212">
        <f>196800/1000</f>
        <v>196.8</v>
      </c>
      <c r="AD59" s="212">
        <f>196800/1000</f>
        <v>196.8</v>
      </c>
      <c r="AE59" s="267">
        <f>AD59/AC59</f>
        <v>1</v>
      </c>
      <c r="AF59" s="212"/>
      <c r="AG59" s="212"/>
      <c r="AH59" s="267"/>
      <c r="AI59" s="212"/>
      <c r="AJ59" s="267"/>
      <c r="AK59" s="212"/>
      <c r="AL59" s="212"/>
      <c r="AM59" s="267"/>
      <c r="AN59" s="212"/>
      <c r="AO59" s="267"/>
      <c r="AP59" s="212"/>
      <c r="AQ59" s="212"/>
      <c r="AR59" s="267"/>
      <c r="AS59" s="212"/>
      <c r="AT59" s="267"/>
      <c r="AU59" s="212"/>
      <c r="AV59" s="212"/>
      <c r="AW59" s="267"/>
      <c r="AX59" s="212"/>
      <c r="AY59" s="267"/>
    </row>
    <row r="60" spans="1:51" ht="15.75">
      <c r="A60" s="146" t="s">
        <v>620</v>
      </c>
      <c r="B60" s="38" t="s">
        <v>621</v>
      </c>
      <c r="C60" s="146"/>
      <c r="D60" s="146" t="s">
        <v>622</v>
      </c>
      <c r="E60" s="272">
        <v>0</v>
      </c>
      <c r="F60" s="272">
        <v>0</v>
      </c>
      <c r="G60" s="273"/>
      <c r="H60" s="272">
        <v>0</v>
      </c>
      <c r="I60" s="272">
        <v>0</v>
      </c>
      <c r="J60" s="273"/>
      <c r="K60" s="274">
        <v>95.1</v>
      </c>
      <c r="L60" s="274">
        <v>95.1</v>
      </c>
      <c r="M60" s="273">
        <f>+L60/K60</f>
        <v>1</v>
      </c>
      <c r="N60" s="274">
        <v>0</v>
      </c>
      <c r="O60" s="274">
        <v>0</v>
      </c>
      <c r="P60" s="273"/>
      <c r="Q60" s="274">
        <v>99</v>
      </c>
      <c r="R60" s="274">
        <v>98.8</v>
      </c>
      <c r="S60" s="273">
        <f>+R60/Q60</f>
        <v>0.997979797979798</v>
      </c>
      <c r="T60" s="274">
        <v>0</v>
      </c>
      <c r="U60" s="274">
        <v>0</v>
      </c>
      <c r="V60" s="273"/>
      <c r="W60" s="274">
        <f>(50000+17750)/1000</f>
        <v>67.75</v>
      </c>
      <c r="X60" s="274">
        <f>(49890+17750)/1000</f>
        <v>67.64</v>
      </c>
      <c r="Y60" s="276">
        <f>+X60/W60</f>
        <v>0.9983763837638376</v>
      </c>
      <c r="Z60" s="277">
        <v>0</v>
      </c>
      <c r="AA60" s="277">
        <v>0</v>
      </c>
      <c r="AB60" s="280"/>
      <c r="AC60" s="212">
        <f>251359.19/1000</f>
        <v>251.35919</v>
      </c>
      <c r="AD60" s="212">
        <f>251359.19/1000</f>
        <v>251.35919</v>
      </c>
      <c r="AE60" s="267">
        <f>AD60/AC60</f>
        <v>1</v>
      </c>
      <c r="AF60" s="212"/>
      <c r="AG60" s="212"/>
      <c r="AH60" s="267"/>
      <c r="AI60" s="212"/>
      <c r="AJ60" s="267"/>
      <c r="AK60" s="212"/>
      <c r="AL60" s="212"/>
      <c r="AM60" s="267"/>
      <c r="AN60" s="212"/>
      <c r="AO60" s="267"/>
      <c r="AP60" s="212"/>
      <c r="AQ60" s="212"/>
      <c r="AR60" s="267"/>
      <c r="AS60" s="212"/>
      <c r="AT60" s="267"/>
      <c r="AU60" s="212"/>
      <c r="AV60" s="212"/>
      <c r="AW60" s="267"/>
      <c r="AX60" s="212"/>
      <c r="AY60" s="267"/>
    </row>
    <row r="61" spans="1:51" ht="31.5">
      <c r="A61" s="146" t="s">
        <v>623</v>
      </c>
      <c r="B61" s="38" t="s">
        <v>624</v>
      </c>
      <c r="C61" s="146"/>
      <c r="D61" s="146" t="s">
        <v>625</v>
      </c>
      <c r="E61" s="272">
        <v>0</v>
      </c>
      <c r="F61" s="272">
        <v>0</v>
      </c>
      <c r="G61" s="273"/>
      <c r="H61" s="272">
        <v>0</v>
      </c>
      <c r="I61" s="272">
        <v>0</v>
      </c>
      <c r="J61" s="273"/>
      <c r="K61" s="274">
        <v>0</v>
      </c>
      <c r="L61" s="274">
        <v>0</v>
      </c>
      <c r="M61" s="273"/>
      <c r="N61" s="274">
        <v>0</v>
      </c>
      <c r="O61" s="274">
        <v>0</v>
      </c>
      <c r="P61" s="273"/>
      <c r="Q61" s="274">
        <v>0</v>
      </c>
      <c r="R61" s="274">
        <v>0</v>
      </c>
      <c r="S61" s="273"/>
      <c r="T61" s="274">
        <v>1.8</v>
      </c>
      <c r="U61" s="274">
        <v>1.8</v>
      </c>
      <c r="V61" s="273">
        <f>+U61/T61</f>
        <v>1</v>
      </c>
      <c r="W61" s="274">
        <f>(5000+750)/1000</f>
        <v>5.75</v>
      </c>
      <c r="X61" s="274">
        <f>(5000+750)/1000</f>
        <v>5.75</v>
      </c>
      <c r="Y61" s="276">
        <f>+X61/W61</f>
        <v>1</v>
      </c>
      <c r="Z61" s="277">
        <f>210000/1000</f>
        <v>210</v>
      </c>
      <c r="AA61" s="277">
        <f>175508/1000</f>
        <v>175.508</v>
      </c>
      <c r="AB61" s="278">
        <f>AA61/Z61</f>
        <v>0.835752380952381</v>
      </c>
      <c r="AC61" s="212">
        <f>44550/1000</f>
        <v>44.55</v>
      </c>
      <c r="AD61" s="212">
        <f>44550/1000</f>
        <v>44.55</v>
      </c>
      <c r="AE61" s="267">
        <f>AD61/AC61</f>
        <v>1</v>
      </c>
      <c r="AF61" s="212"/>
      <c r="AG61" s="212"/>
      <c r="AH61" s="267"/>
      <c r="AI61" s="212"/>
      <c r="AJ61" s="267"/>
      <c r="AK61" s="212"/>
      <c r="AL61" s="212"/>
      <c r="AM61" s="267"/>
      <c r="AN61" s="212"/>
      <c r="AO61" s="267"/>
      <c r="AP61" s="212"/>
      <c r="AQ61" s="212"/>
      <c r="AR61" s="267"/>
      <c r="AS61" s="212"/>
      <c r="AT61" s="267"/>
      <c r="AU61" s="212"/>
      <c r="AV61" s="212"/>
      <c r="AW61" s="267"/>
      <c r="AX61" s="212"/>
      <c r="AY61" s="267"/>
    </row>
    <row r="62" spans="1:51" ht="31.5">
      <c r="A62" s="185" t="s">
        <v>626</v>
      </c>
      <c r="B62" s="258" t="s">
        <v>627</v>
      </c>
      <c r="C62" s="185">
        <v>320</v>
      </c>
      <c r="D62" s="185" t="s">
        <v>628</v>
      </c>
      <c r="E62" s="279">
        <v>0</v>
      </c>
      <c r="F62" s="279">
        <v>0</v>
      </c>
      <c r="G62" s="260"/>
      <c r="H62" s="279">
        <v>0</v>
      </c>
      <c r="I62" s="279">
        <v>0</v>
      </c>
      <c r="J62" s="260"/>
      <c r="K62" s="259">
        <v>0</v>
      </c>
      <c r="L62" s="259">
        <v>0</v>
      </c>
      <c r="M62" s="260"/>
      <c r="N62" s="259">
        <v>0.8</v>
      </c>
      <c r="O62" s="259">
        <v>0.8</v>
      </c>
      <c r="P62" s="260">
        <f>+O62/N62</f>
        <v>1</v>
      </c>
      <c r="Q62" s="259"/>
      <c r="R62" s="259"/>
      <c r="S62" s="260"/>
      <c r="T62" s="259"/>
      <c r="U62" s="259"/>
      <c r="V62" s="260"/>
      <c r="W62" s="259"/>
      <c r="X62" s="259"/>
      <c r="Y62" s="261"/>
      <c r="Z62" s="208"/>
      <c r="AA62" s="208"/>
      <c r="AB62" s="207"/>
      <c r="AC62" s="208"/>
      <c r="AD62" s="208"/>
      <c r="AE62" s="262"/>
      <c r="AF62" s="208"/>
      <c r="AG62" s="208"/>
      <c r="AH62" s="262"/>
      <c r="AI62" s="208"/>
      <c r="AJ62" s="262"/>
      <c r="AK62" s="208"/>
      <c r="AL62" s="208"/>
      <c r="AM62" s="262"/>
      <c r="AN62" s="208"/>
      <c r="AO62" s="262"/>
      <c r="AP62" s="208"/>
      <c r="AQ62" s="208"/>
      <c r="AR62" s="262"/>
      <c r="AS62" s="208"/>
      <c r="AT62" s="262"/>
      <c r="AU62" s="208"/>
      <c r="AV62" s="208"/>
      <c r="AW62" s="262"/>
      <c r="AX62" s="208"/>
      <c r="AY62" s="262"/>
    </row>
    <row r="63" spans="1:51" ht="31.5">
      <c r="A63" s="185" t="s">
        <v>629</v>
      </c>
      <c r="B63" s="258" t="s">
        <v>630</v>
      </c>
      <c r="C63" s="185">
        <v>340</v>
      </c>
      <c r="D63" s="185">
        <v>34000</v>
      </c>
      <c r="E63" s="279">
        <f>SUM(E64:E68)</f>
        <v>252.59000000000003</v>
      </c>
      <c r="F63" s="279">
        <f>SUM(F64:F68)</f>
        <v>239.4</v>
      </c>
      <c r="G63" s="260">
        <f>+F63/E63</f>
        <v>0.947780988954432</v>
      </c>
      <c r="H63" s="279">
        <f>SUM(H64:H68)</f>
        <v>339</v>
      </c>
      <c r="I63" s="279">
        <f>SUM(I64:I68)</f>
        <v>339</v>
      </c>
      <c r="J63" s="260">
        <f>+I63/H63</f>
        <v>1</v>
      </c>
      <c r="K63" s="279">
        <f>SUM(K64:K68)</f>
        <v>490.94</v>
      </c>
      <c r="L63" s="279">
        <f>SUM(L64:L68)</f>
        <v>482.91999999999996</v>
      </c>
      <c r="M63" s="260">
        <f>+L63/K63</f>
        <v>0.9836639915264593</v>
      </c>
      <c r="N63" s="279">
        <f>SUM(N64:N68)</f>
        <v>493</v>
      </c>
      <c r="O63" s="279">
        <f>SUM(O64:O68)</f>
        <v>493</v>
      </c>
      <c r="P63" s="260">
        <f>+O63/N63</f>
        <v>1</v>
      </c>
      <c r="Q63" s="279">
        <f>SUM(Q64:Q68)</f>
        <v>514.53</v>
      </c>
      <c r="R63" s="279">
        <f>SUM(R64:R68)</f>
        <v>510.42</v>
      </c>
      <c r="S63" s="260">
        <f>+R63/Q63</f>
        <v>0.9920121275727364</v>
      </c>
      <c r="T63" s="279">
        <f>SUM(T64:T68)</f>
        <v>559.6406099999999</v>
      </c>
      <c r="U63" s="279">
        <f>SUM(U64:U68)</f>
        <v>559.6406099999999</v>
      </c>
      <c r="V63" s="260">
        <f>+U63/T63</f>
        <v>1</v>
      </c>
      <c r="W63" s="279">
        <f>SUM(W64:W68)</f>
        <v>483.08763</v>
      </c>
      <c r="X63" s="279">
        <f>SUM(X64:X68)</f>
        <v>483.06472</v>
      </c>
      <c r="Y63" s="261">
        <f>+X63/W63</f>
        <v>0.9999525758918729</v>
      </c>
      <c r="Z63" s="259">
        <f>Z66+Z68</f>
        <v>516.1096699999999</v>
      </c>
      <c r="AA63" s="259">
        <f>AA66+AA68</f>
        <v>516.1096699999999</v>
      </c>
      <c r="AB63" s="261">
        <f>AA63/Z63</f>
        <v>1</v>
      </c>
      <c r="AC63" s="259">
        <f>SUM(AC64:AC68)</f>
        <v>648.6101199999999</v>
      </c>
      <c r="AD63" s="259">
        <f>SUM(AD64:AD68)</f>
        <v>648.54263</v>
      </c>
      <c r="AE63" s="262">
        <f>AD63/AC63</f>
        <v>0.9998959467360764</v>
      </c>
      <c r="AF63" s="259">
        <f>464421.65/1000</f>
        <v>464.42165</v>
      </c>
      <c r="AG63" s="259">
        <f>(244665.05+3245)/1000</f>
        <v>247.91004999999998</v>
      </c>
      <c r="AH63" s="262">
        <f>AG63/AF63</f>
        <v>0.5338038181467207</v>
      </c>
      <c r="AI63" s="259">
        <f>456165.59/1000</f>
        <v>456.16559</v>
      </c>
      <c r="AJ63" s="262">
        <f>+AI63/AF63</f>
        <v>0.9822229217780868</v>
      </c>
      <c r="AK63" s="259">
        <f>635866.29/1000</f>
        <v>635.86629</v>
      </c>
      <c r="AL63" s="259">
        <f>(244665.05+3245)/1000</f>
        <v>247.91004999999998</v>
      </c>
      <c r="AM63" s="262">
        <f>AL63/AK63</f>
        <v>0.38987764235779815</v>
      </c>
      <c r="AN63" s="259">
        <f>635866.28/1000</f>
        <v>635.8662800000001</v>
      </c>
      <c r="AO63" s="262">
        <f>+AN63/AK63</f>
        <v>0.9999999842734233</v>
      </c>
      <c r="AP63" s="259">
        <f>466710.53/1000</f>
        <v>466.71053</v>
      </c>
      <c r="AQ63" s="259">
        <f>(244665.05+3245)/1000</f>
        <v>247.91004999999998</v>
      </c>
      <c r="AR63" s="262">
        <f>AQ63/AP63</f>
        <v>0.5311858937487439</v>
      </c>
      <c r="AS63" s="259">
        <f>(163229.65+4350+294930.78+1200)/1000</f>
        <v>463.71043000000003</v>
      </c>
      <c r="AT63" s="262">
        <f>+AS63/AP63</f>
        <v>0.9935718184888608</v>
      </c>
      <c r="AU63" s="372">
        <f>524147.29/1000</f>
        <v>524.14729</v>
      </c>
      <c r="AV63" s="372">
        <f>(244665.05+3245)/1000</f>
        <v>247.91004999999998</v>
      </c>
      <c r="AW63" s="373">
        <f>AV63/AU63</f>
        <v>0.4729778341503969</v>
      </c>
      <c r="AX63" s="372">
        <f>382856.4/1000</f>
        <v>382.8564</v>
      </c>
      <c r="AY63" s="262">
        <f>+AX63/AU63</f>
        <v>0.7304366679068397</v>
      </c>
    </row>
    <row r="64" spans="1:51" ht="15.75">
      <c r="A64" s="146" t="s">
        <v>631</v>
      </c>
      <c r="B64" s="38" t="s">
        <v>632</v>
      </c>
      <c r="C64" s="146"/>
      <c r="D64" s="146" t="s">
        <v>633</v>
      </c>
      <c r="E64" s="272">
        <v>0</v>
      </c>
      <c r="F64" s="272">
        <v>0</v>
      </c>
      <c r="G64" s="273"/>
      <c r="H64" s="272">
        <v>0</v>
      </c>
      <c r="I64" s="272"/>
      <c r="J64" s="273"/>
      <c r="K64" s="274">
        <v>0</v>
      </c>
      <c r="L64" s="274">
        <v>0</v>
      </c>
      <c r="M64" s="273"/>
      <c r="N64" s="274">
        <v>0</v>
      </c>
      <c r="O64" s="274">
        <v>0</v>
      </c>
      <c r="P64" s="273"/>
      <c r="Q64" s="274"/>
      <c r="R64" s="274"/>
      <c r="S64" s="273"/>
      <c r="T64" s="274"/>
      <c r="U64" s="274"/>
      <c r="V64" s="273"/>
      <c r="W64" s="274"/>
      <c r="X64" s="274"/>
      <c r="Y64" s="276"/>
      <c r="Z64" s="277"/>
      <c r="AA64" s="277"/>
      <c r="AB64" s="280"/>
      <c r="AC64" s="212"/>
      <c r="AD64" s="212"/>
      <c r="AE64" s="267"/>
      <c r="AF64" s="212"/>
      <c r="AG64" s="212"/>
      <c r="AH64" s="267"/>
      <c r="AI64" s="212"/>
      <c r="AJ64" s="267"/>
      <c r="AK64" s="212"/>
      <c r="AL64" s="212"/>
      <c r="AM64" s="267"/>
      <c r="AN64" s="212"/>
      <c r="AO64" s="267"/>
      <c r="AP64" s="212"/>
      <c r="AQ64" s="212"/>
      <c r="AR64" s="267"/>
      <c r="AS64" s="212"/>
      <c r="AT64" s="267"/>
      <c r="AU64" s="212"/>
      <c r="AV64" s="212"/>
      <c r="AW64" s="267"/>
      <c r="AX64" s="212"/>
      <c r="AY64" s="267"/>
    </row>
    <row r="65" spans="1:51" ht="15.75">
      <c r="A65" s="146" t="s">
        <v>634</v>
      </c>
      <c r="B65" s="38" t="s">
        <v>635</v>
      </c>
      <c r="C65" s="146"/>
      <c r="D65" s="146" t="s">
        <v>636</v>
      </c>
      <c r="E65" s="272">
        <v>0</v>
      </c>
      <c r="F65" s="272">
        <v>0</v>
      </c>
      <c r="G65" s="273"/>
      <c r="H65" s="272">
        <v>0</v>
      </c>
      <c r="I65" s="272"/>
      <c r="J65" s="273"/>
      <c r="K65" s="274">
        <v>0</v>
      </c>
      <c r="L65" s="274">
        <v>0</v>
      </c>
      <c r="M65" s="273"/>
      <c r="N65" s="274">
        <v>0</v>
      </c>
      <c r="O65" s="274">
        <v>0</v>
      </c>
      <c r="P65" s="273"/>
      <c r="Q65" s="274"/>
      <c r="R65" s="274"/>
      <c r="S65" s="273"/>
      <c r="T65" s="274"/>
      <c r="U65" s="274"/>
      <c r="V65" s="273"/>
      <c r="W65" s="274"/>
      <c r="X65" s="274"/>
      <c r="Y65" s="276"/>
      <c r="Z65" s="277"/>
      <c r="AA65" s="277"/>
      <c r="AB65" s="280"/>
      <c r="AC65" s="212"/>
      <c r="AD65" s="212"/>
      <c r="AE65" s="267"/>
      <c r="AF65" s="212"/>
      <c r="AG65" s="212"/>
      <c r="AH65" s="267"/>
      <c r="AI65" s="212"/>
      <c r="AJ65" s="267"/>
      <c r="AK65" s="212"/>
      <c r="AL65" s="212"/>
      <c r="AM65" s="267"/>
      <c r="AN65" s="212"/>
      <c r="AO65" s="267"/>
      <c r="AP65" s="212"/>
      <c r="AQ65" s="212"/>
      <c r="AR65" s="267"/>
      <c r="AS65" s="212"/>
      <c r="AT65" s="267"/>
      <c r="AU65" s="212"/>
      <c r="AV65" s="212"/>
      <c r="AW65" s="267"/>
      <c r="AX65" s="212"/>
      <c r="AY65" s="267"/>
    </row>
    <row r="66" spans="1:51" ht="15.75">
      <c r="A66" s="146" t="s">
        <v>637</v>
      </c>
      <c r="B66" s="38" t="s">
        <v>638</v>
      </c>
      <c r="C66" s="146"/>
      <c r="D66" s="146" t="s">
        <v>639</v>
      </c>
      <c r="E66" s="272">
        <v>124.01</v>
      </c>
      <c r="F66" s="272">
        <v>124.01</v>
      </c>
      <c r="G66" s="273">
        <f>+F66/E66</f>
        <v>1</v>
      </c>
      <c r="H66" s="272">
        <v>144</v>
      </c>
      <c r="I66" s="272">
        <v>144</v>
      </c>
      <c r="J66" s="273">
        <f>+I66/H66</f>
        <v>1</v>
      </c>
      <c r="K66" s="274">
        <v>163</v>
      </c>
      <c r="L66" s="274">
        <v>154.98</v>
      </c>
      <c r="M66" s="273">
        <f>+L66/K66</f>
        <v>0.9507975460122698</v>
      </c>
      <c r="N66" s="274">
        <v>143</v>
      </c>
      <c r="O66" s="274">
        <v>143</v>
      </c>
      <c r="P66" s="273">
        <f>+O66/N66</f>
        <v>1</v>
      </c>
      <c r="Q66" s="274">
        <v>153.05</v>
      </c>
      <c r="R66" s="274">
        <v>149.43</v>
      </c>
      <c r="S66" s="273">
        <f>+R66/Q66</f>
        <v>0.9763475988239138</v>
      </c>
      <c r="T66" s="274">
        <f>(67184.25+87932.8+5900)/1000</f>
        <v>161.01704999999998</v>
      </c>
      <c r="U66" s="274">
        <f>(67184.25+87932.8+5900)/1000</f>
        <v>161.01704999999998</v>
      </c>
      <c r="V66" s="273">
        <f>+U66/T66</f>
        <v>1</v>
      </c>
      <c r="W66" s="274">
        <f>(89970.9+44999.96+8211)/1000</f>
        <v>143.18185999999997</v>
      </c>
      <c r="X66" s="274">
        <f>(89970.9+44977.05+8211)/1000</f>
        <v>143.15895</v>
      </c>
      <c r="Y66" s="276">
        <f>+X66/W66</f>
        <v>0.9998399936975259</v>
      </c>
      <c r="Z66" s="277">
        <f>(97821.4+40056.15+21400+10000)/1000</f>
        <v>169.27755</v>
      </c>
      <c r="AA66" s="277">
        <f>(97821.4+40056.15+21400+10000)/1000</f>
        <v>169.27755</v>
      </c>
      <c r="AB66" s="278">
        <f>AA66/Z66</f>
        <v>1</v>
      </c>
      <c r="AC66" s="212">
        <f>160883.07/1000</f>
        <v>160.88307</v>
      </c>
      <c r="AD66" s="212">
        <f>160883.07/1000</f>
        <v>160.88307</v>
      </c>
      <c r="AE66" s="267">
        <f>AD66/AC66</f>
        <v>1</v>
      </c>
      <c r="AF66" s="212"/>
      <c r="AG66" s="212"/>
      <c r="AH66" s="267"/>
      <c r="AI66" s="212"/>
      <c r="AJ66" s="267"/>
      <c r="AK66" s="212"/>
      <c r="AL66" s="212"/>
      <c r="AM66" s="267"/>
      <c r="AN66" s="212"/>
      <c r="AO66" s="267"/>
      <c r="AP66" s="212"/>
      <c r="AQ66" s="212"/>
      <c r="AR66" s="267"/>
      <c r="AS66" s="212"/>
      <c r="AT66" s="267"/>
      <c r="AU66" s="212"/>
      <c r="AV66" s="212"/>
      <c r="AW66" s="267"/>
      <c r="AX66" s="212"/>
      <c r="AY66" s="267"/>
    </row>
    <row r="67" spans="1:51" ht="15.75">
      <c r="A67" s="146" t="s">
        <v>640</v>
      </c>
      <c r="B67" s="38" t="s">
        <v>641</v>
      </c>
      <c r="C67" s="146"/>
      <c r="D67" s="146" t="s">
        <v>642</v>
      </c>
      <c r="E67" s="272">
        <v>0</v>
      </c>
      <c r="F67" s="272">
        <v>0</v>
      </c>
      <c r="G67" s="273"/>
      <c r="H67" s="272">
        <v>0</v>
      </c>
      <c r="I67" s="272">
        <v>0</v>
      </c>
      <c r="J67" s="273"/>
      <c r="K67" s="274">
        <v>0</v>
      </c>
      <c r="L67" s="274">
        <v>0</v>
      </c>
      <c r="M67" s="273"/>
      <c r="N67" s="274">
        <v>0</v>
      </c>
      <c r="O67" s="274">
        <v>0</v>
      </c>
      <c r="P67" s="273"/>
      <c r="Q67" s="274"/>
      <c r="R67" s="274"/>
      <c r="S67" s="273"/>
      <c r="T67" s="274"/>
      <c r="U67" s="274"/>
      <c r="V67" s="273"/>
      <c r="W67" s="274"/>
      <c r="X67" s="274"/>
      <c r="Y67" s="276"/>
      <c r="Z67" s="277"/>
      <c r="AA67" s="277"/>
      <c r="AB67" s="280"/>
      <c r="AC67" s="212"/>
      <c r="AD67" s="212"/>
      <c r="AE67" s="267"/>
      <c r="AF67" s="212"/>
      <c r="AG67" s="212"/>
      <c r="AH67" s="267"/>
      <c r="AI67" s="212"/>
      <c r="AJ67" s="267"/>
      <c r="AK67" s="212"/>
      <c r="AL67" s="212"/>
      <c r="AM67" s="267"/>
      <c r="AN67" s="212"/>
      <c r="AO67" s="267"/>
      <c r="AP67" s="212"/>
      <c r="AQ67" s="212"/>
      <c r="AR67" s="267"/>
      <c r="AS67" s="212"/>
      <c r="AT67" s="267"/>
      <c r="AU67" s="212"/>
      <c r="AV67" s="212"/>
      <c r="AW67" s="267"/>
      <c r="AX67" s="212"/>
      <c r="AY67" s="267"/>
    </row>
    <row r="68" spans="1:51" ht="31.5">
      <c r="A68" s="146" t="s">
        <v>643</v>
      </c>
      <c r="B68" s="38" t="s">
        <v>644</v>
      </c>
      <c r="C68" s="146"/>
      <c r="D68" s="146" t="s">
        <v>645</v>
      </c>
      <c r="E68" s="272">
        <v>128.58</v>
      </c>
      <c r="F68" s="272">
        <v>115.39</v>
      </c>
      <c r="G68" s="273">
        <f>+F68/E68</f>
        <v>0.8974179499144501</v>
      </c>
      <c r="H68" s="272">
        <v>195</v>
      </c>
      <c r="I68" s="272">
        <v>195</v>
      </c>
      <c r="J68" s="273">
        <f>+I68/H68</f>
        <v>1</v>
      </c>
      <c r="K68" s="274">
        <v>327.94</v>
      </c>
      <c r="L68" s="274">
        <v>327.94</v>
      </c>
      <c r="M68" s="273">
        <f>+L68/K68</f>
        <v>1</v>
      </c>
      <c r="N68" s="274">
        <v>350</v>
      </c>
      <c r="O68" s="274">
        <v>350</v>
      </c>
      <c r="P68" s="273">
        <f>+O68/N68</f>
        <v>1</v>
      </c>
      <c r="Q68" s="274">
        <v>361.48</v>
      </c>
      <c r="R68" s="274">
        <v>360.99</v>
      </c>
      <c r="S68" s="273">
        <f>+R68/Q68</f>
        <v>0.9986444616576298</v>
      </c>
      <c r="T68" s="274">
        <f>(22500+376123.56)/1000</f>
        <v>398.62356</v>
      </c>
      <c r="U68" s="274">
        <f>(22500+376123.56)/1000</f>
        <v>398.62356</v>
      </c>
      <c r="V68" s="273">
        <f>+U68/T68</f>
        <v>1</v>
      </c>
      <c r="W68" s="274">
        <f>(266454.4+4190+67073.34+2188.03)/1000</f>
        <v>339.90577</v>
      </c>
      <c r="X68" s="274">
        <f>(2188.03+67073.34+4190+266454.4)/1000</f>
        <v>339.90577</v>
      </c>
      <c r="Y68" s="276">
        <f>+X68/W68</f>
        <v>1</v>
      </c>
      <c r="Z68" s="277">
        <f>(3907+22314+23986.4+17276+3110+33038+121457.54+72641.18+49102)/1000</f>
        <v>346.83212</v>
      </c>
      <c r="AA68" s="277">
        <f>(3907+22314+23986.4+17276+3110+33038+121457.54+72641.18+49102)/1000</f>
        <v>346.83212</v>
      </c>
      <c r="AB68" s="278">
        <f>AA68/Z68</f>
        <v>1</v>
      </c>
      <c r="AC68" s="212">
        <f>487727.05/1000</f>
        <v>487.72704999999996</v>
      </c>
      <c r="AD68" s="212">
        <f>487659.56/1000</f>
        <v>487.65956</v>
      </c>
      <c r="AE68" s="267">
        <f>AD68/AC68</f>
        <v>0.9998616234223631</v>
      </c>
      <c r="AF68" s="212"/>
      <c r="AG68" s="212"/>
      <c r="AH68" s="267"/>
      <c r="AI68" s="212"/>
      <c r="AJ68" s="267"/>
      <c r="AK68" s="212"/>
      <c r="AL68" s="212"/>
      <c r="AM68" s="267"/>
      <c r="AN68" s="212"/>
      <c r="AO68" s="267"/>
      <c r="AP68" s="212"/>
      <c r="AQ68" s="212"/>
      <c r="AR68" s="267"/>
      <c r="AS68" s="212"/>
      <c r="AT68" s="267"/>
      <c r="AU68" s="212"/>
      <c r="AV68" s="212"/>
      <c r="AW68" s="267"/>
      <c r="AX68" s="212"/>
      <c r="AY68" s="267"/>
    </row>
    <row r="69" spans="1:51" ht="15.75">
      <c r="A69" s="133"/>
      <c r="B69" s="57" t="s">
        <v>646</v>
      </c>
      <c r="C69" s="133"/>
      <c r="D69" s="133"/>
      <c r="E69" s="266">
        <f>E8+E54</f>
        <v>308555.22000000003</v>
      </c>
      <c r="F69" s="266">
        <f>F8+F54</f>
        <v>294151.33</v>
      </c>
      <c r="G69" s="264">
        <f>+F69/E69</f>
        <v>0.9533182747645623</v>
      </c>
      <c r="H69" s="266">
        <f>H8+H54</f>
        <v>322315.07999999996</v>
      </c>
      <c r="I69" s="266">
        <f>I8+I54</f>
        <v>307916.45999999996</v>
      </c>
      <c r="J69" s="264">
        <f>+I69/H69</f>
        <v>0.9553275012760806</v>
      </c>
      <c r="K69" s="266">
        <f>K8+K54</f>
        <v>349499.0899999999</v>
      </c>
      <c r="L69" s="266">
        <f>L8+L54</f>
        <v>314138.84</v>
      </c>
      <c r="M69" s="264">
        <f>+L69/K69</f>
        <v>0.8988259168285677</v>
      </c>
      <c r="N69" s="266">
        <f>N8+N54</f>
        <v>340292.95999999996</v>
      </c>
      <c r="O69" s="266">
        <f>O8+O54</f>
        <v>306666.6399999999</v>
      </c>
      <c r="P69" s="264">
        <f>+O69/N69</f>
        <v>0.9011842031642381</v>
      </c>
      <c r="Q69" s="266">
        <f>Q8+Q54</f>
        <v>345604.35000000003</v>
      </c>
      <c r="R69" s="266">
        <f>R8+R54</f>
        <v>339121.18738</v>
      </c>
      <c r="S69" s="264">
        <f>+R69/Q69</f>
        <v>0.9812410850152783</v>
      </c>
      <c r="T69" s="266">
        <f>T8+T54</f>
        <v>390493.00568</v>
      </c>
      <c r="U69" s="266">
        <f>U8+U54</f>
        <v>381744.44174</v>
      </c>
      <c r="V69" s="264">
        <f>+U69/T69</f>
        <v>0.9775961059154814</v>
      </c>
      <c r="W69" s="266">
        <f>W8+W54</f>
        <v>466096.77287000004</v>
      </c>
      <c r="X69" s="266">
        <f>X8+X54</f>
        <v>456907.76352000004</v>
      </c>
      <c r="Y69" s="265">
        <f>+X69/W69</f>
        <v>0.9802851899329436</v>
      </c>
      <c r="Z69" s="266">
        <f>Z8+Z54</f>
        <v>482228.57016</v>
      </c>
      <c r="AA69" s="266">
        <f>AA8+AA54</f>
        <v>472631.0124999999</v>
      </c>
      <c r="AB69" s="265">
        <f>AA69/Z69</f>
        <v>0.9800974926541252</v>
      </c>
      <c r="AC69" s="266">
        <f>AC8+AC54</f>
        <v>504014.76926999993</v>
      </c>
      <c r="AD69" s="266">
        <f>AD8+AD54</f>
        <v>488005.25022</v>
      </c>
      <c r="AE69" s="267">
        <f>AD69/AC69</f>
        <v>0.9682360120653059</v>
      </c>
      <c r="AF69" s="266">
        <f>AF8+AF54</f>
        <v>533490.15763</v>
      </c>
      <c r="AG69" s="266">
        <f>AG8+AG54</f>
        <v>263414.33665000007</v>
      </c>
      <c r="AH69" s="267">
        <f>AG69/AF69</f>
        <v>0.49375669425693514</v>
      </c>
      <c r="AI69" s="266">
        <f>AI8+AI54</f>
        <v>528118.8521100001</v>
      </c>
      <c r="AJ69" s="267">
        <f>+AI69/AF69</f>
        <v>0.9899317626704461</v>
      </c>
      <c r="AK69" s="266">
        <f>AK8+AK54</f>
        <v>686441.1800700001</v>
      </c>
      <c r="AL69" s="266">
        <f>AL8+AL54</f>
        <v>263414.33665000007</v>
      </c>
      <c r="AM69" s="267">
        <f>AL69/AK69</f>
        <v>0.3837391233188229</v>
      </c>
      <c r="AN69" s="266">
        <f>AN8+AN54</f>
        <v>673489.5543099999</v>
      </c>
      <c r="AO69" s="267">
        <f>+AN69/AK69</f>
        <v>0.9811322133111544</v>
      </c>
      <c r="AP69" s="266">
        <f>AP8+AP54</f>
        <v>773290.9424810001</v>
      </c>
      <c r="AQ69" s="266">
        <f>AQ8+AQ54</f>
        <v>263414.33665000007</v>
      </c>
      <c r="AR69" s="267">
        <f>AQ69/AP69</f>
        <v>0.34064065952314215</v>
      </c>
      <c r="AS69" s="266">
        <f>AS8+AS54</f>
        <v>760370.1847899999</v>
      </c>
      <c r="AT69" s="267">
        <f>+AS69/AP69</f>
        <v>0.9832912077703306</v>
      </c>
      <c r="AU69" s="266">
        <f>AU8+AU54</f>
        <v>822012.51866</v>
      </c>
      <c r="AV69" s="266">
        <f>AV8+AV54</f>
        <v>263414.33665000007</v>
      </c>
      <c r="AW69" s="267">
        <f>AV69/AU69</f>
        <v>0.3204505170789902</v>
      </c>
      <c r="AX69" s="370">
        <f>AX8+AX54</f>
        <v>390831.05993000005</v>
      </c>
      <c r="AY69" s="267">
        <f>+AX69/AU69</f>
        <v>0.4754563355885523</v>
      </c>
    </row>
    <row r="70" spans="32:50" ht="15.75">
      <c r="AF70" s="282"/>
      <c r="AI70" s="282"/>
      <c r="AK70" s="282"/>
      <c r="AN70" s="282"/>
      <c r="AP70" s="282"/>
      <c r="AS70" s="282"/>
      <c r="AU70" s="282"/>
      <c r="AX70" s="282"/>
    </row>
    <row r="71" spans="17:50" ht="15.75">
      <c r="Q71" s="282"/>
      <c r="R71" s="282"/>
      <c r="T71" s="282"/>
      <c r="U71" s="282"/>
      <c r="W71" s="282"/>
      <c r="X71" s="282"/>
      <c r="Z71" s="283"/>
      <c r="AA71" s="283"/>
      <c r="AC71" s="282">
        <f>504014770.33/1000</f>
        <v>504014.77032999997</v>
      </c>
      <c r="AD71" s="282">
        <f>488005250.23/1000</f>
        <v>488005.25023</v>
      </c>
      <c r="AF71" s="282"/>
      <c r="AG71" s="282"/>
      <c r="AK71" s="282"/>
      <c r="AL71" s="282"/>
      <c r="AN71" s="282"/>
      <c r="AP71" s="282"/>
      <c r="AQ71" s="282"/>
      <c r="AS71" s="282"/>
      <c r="AU71" s="282"/>
      <c r="AV71" s="282"/>
      <c r="AX71" s="282"/>
    </row>
    <row r="72" spans="26:47" ht="15.75">
      <c r="Z72" s="282"/>
      <c r="AA72" s="283"/>
      <c r="AP72" s="282"/>
      <c r="AU72" s="282"/>
    </row>
    <row r="73" spans="29:48" ht="15.75">
      <c r="AC73" s="282"/>
      <c r="AD73" s="282"/>
      <c r="AF73" s="282"/>
      <c r="AG73" s="282"/>
      <c r="AK73" s="282"/>
      <c r="AL73" s="282"/>
      <c r="AP73" s="282"/>
      <c r="AQ73" s="282"/>
      <c r="AU73" s="282"/>
      <c r="AV73" s="282"/>
    </row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2" ht="15.75"/>
    <row r="373" ht="15.75"/>
    <row r="374" ht="15.75"/>
  </sheetData>
  <sheetProtection selectLockedCells="1" selectUnlockedCells="1"/>
  <mergeCells count="4">
    <mergeCell ref="A1:D1"/>
    <mergeCell ref="A2:D2"/>
    <mergeCell ref="A3:AH3"/>
    <mergeCell ref="A4:D4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01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6.50390625" style="0" customWidth="1"/>
    <col min="2" max="2" width="17.50390625" style="0" customWidth="1"/>
    <col min="3" max="3" width="14.50390625" style="0" customWidth="1"/>
    <col min="4" max="4" width="36.50390625" style="0" customWidth="1"/>
    <col min="5" max="5" width="16.50390625" style="0" customWidth="1"/>
    <col min="6" max="7" width="11.50390625" style="0" customWidth="1"/>
    <col min="8" max="8" width="12.50390625" style="0" customWidth="1"/>
    <col min="9" max="9" width="11.50390625" style="0" customWidth="1"/>
    <col min="10" max="10" width="10.50390625" style="0" customWidth="1"/>
    <col min="11" max="11" width="15.50390625" style="0" customWidth="1"/>
  </cols>
  <sheetData>
    <row r="1" spans="1:22" ht="15">
      <c r="A1" s="15"/>
      <c r="B1" s="15"/>
      <c r="C1" s="15"/>
      <c r="D1" s="15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ht="17.25">
      <c r="A2" s="285"/>
      <c r="B2" s="389" t="s">
        <v>23</v>
      </c>
      <c r="C2" s="389"/>
      <c r="D2" s="389"/>
      <c r="E2" s="389"/>
      <c r="F2" s="389"/>
      <c r="G2" s="13"/>
      <c r="H2" s="13"/>
      <c r="I2" s="13"/>
      <c r="J2" s="13"/>
      <c r="K2" s="13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ht="17.25">
      <c r="A3" s="16"/>
      <c r="B3" s="414" t="s">
        <v>24</v>
      </c>
      <c r="C3" s="414"/>
      <c r="D3" s="414"/>
      <c r="E3" s="414"/>
      <c r="F3" s="414"/>
      <c r="G3" s="13"/>
      <c r="H3" s="13"/>
      <c r="I3" s="13"/>
      <c r="J3" s="13"/>
      <c r="K3" s="13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2" ht="17.25">
      <c r="A4" s="17"/>
      <c r="B4" s="17"/>
      <c r="C4" s="17"/>
      <c r="D4" s="17"/>
      <c r="E4" s="75"/>
      <c r="F4" s="5"/>
      <c r="G4" s="5"/>
      <c r="H4" s="5"/>
      <c r="I4" s="5"/>
      <c r="J4" s="5"/>
      <c r="K4" s="5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ht="1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</row>
    <row r="6" spans="1:22" ht="12.75" customHeight="1">
      <c r="A6" s="415" t="s">
        <v>647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</row>
    <row r="7" spans="1:22" ht="13.5">
      <c r="A7" s="286"/>
      <c r="B7" s="286"/>
      <c r="C7" s="287"/>
      <c r="D7" s="287"/>
      <c r="E7" s="287"/>
      <c r="F7" s="288"/>
      <c r="G7" s="174"/>
      <c r="H7" s="174"/>
      <c r="I7" s="174"/>
      <c r="J7" s="174"/>
      <c r="K7" s="17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</row>
    <row r="8" spans="1:22" ht="13.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</row>
    <row r="9" spans="1:22" ht="12.75" customHeight="1">
      <c r="A9" s="412" t="s">
        <v>206</v>
      </c>
      <c r="B9" s="412" t="s">
        <v>648</v>
      </c>
      <c r="C9" s="412" t="s">
        <v>649</v>
      </c>
      <c r="D9" s="412" t="s">
        <v>650</v>
      </c>
      <c r="E9" s="412" t="s">
        <v>651</v>
      </c>
      <c r="F9" s="413" t="s">
        <v>652</v>
      </c>
      <c r="G9" s="413"/>
      <c r="H9" s="413"/>
      <c r="I9" s="413"/>
      <c r="J9" s="413"/>
      <c r="K9" s="412" t="s">
        <v>653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</row>
    <row r="10" spans="1:22" ht="30" customHeight="1">
      <c r="A10" s="412"/>
      <c r="B10" s="412"/>
      <c r="C10" s="412"/>
      <c r="D10" s="412"/>
      <c r="E10" s="412"/>
      <c r="F10" s="291" t="s">
        <v>654</v>
      </c>
      <c r="G10" s="290" t="s">
        <v>655</v>
      </c>
      <c r="H10" s="290" t="s">
        <v>656</v>
      </c>
      <c r="I10" s="290" t="s">
        <v>657</v>
      </c>
      <c r="J10" s="290" t="s">
        <v>658</v>
      </c>
      <c r="K10" s="412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</row>
    <row r="11" spans="1:22" s="294" customFormat="1" ht="10.5" customHeight="1">
      <c r="A11" s="292">
        <v>1</v>
      </c>
      <c r="B11" s="293">
        <v>2</v>
      </c>
      <c r="C11" s="293">
        <v>3</v>
      </c>
      <c r="D11" s="292">
        <v>4</v>
      </c>
      <c r="E11" s="293">
        <v>5</v>
      </c>
      <c r="F11" s="293">
        <v>6</v>
      </c>
      <c r="G11" s="292">
        <v>7</v>
      </c>
      <c r="H11" s="293">
        <v>8</v>
      </c>
      <c r="I11" s="293">
        <v>9</v>
      </c>
      <c r="J11" s="292">
        <v>10</v>
      </c>
      <c r="K11" s="293">
        <v>11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</row>
    <row r="12" spans="1:22" s="174" customFormat="1" ht="38.25" customHeight="1">
      <c r="A12" s="416">
        <v>1</v>
      </c>
      <c r="B12" s="417" t="s">
        <v>659</v>
      </c>
      <c r="C12" s="417" t="s">
        <v>660</v>
      </c>
      <c r="D12" s="296" t="s">
        <v>661</v>
      </c>
      <c r="E12" s="297" t="s">
        <v>662</v>
      </c>
      <c r="F12" s="298">
        <v>24.99</v>
      </c>
      <c r="G12" s="299">
        <v>6222800</v>
      </c>
      <c r="H12" s="299" t="s">
        <v>663</v>
      </c>
      <c r="I12" s="299" t="s">
        <v>664</v>
      </c>
      <c r="J12" s="300">
        <v>22505</v>
      </c>
      <c r="K12" s="301" t="s">
        <v>665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</row>
    <row r="13" spans="1:22" s="306" customFormat="1" ht="38.25" customHeight="1">
      <c r="A13" s="416"/>
      <c r="B13" s="417"/>
      <c r="C13" s="417"/>
      <c r="D13" s="296" t="s">
        <v>666</v>
      </c>
      <c r="E13" s="297" t="s">
        <v>662</v>
      </c>
      <c r="F13" s="303">
        <v>195</v>
      </c>
      <c r="G13" s="304" t="s">
        <v>667</v>
      </c>
      <c r="H13" s="304" t="s">
        <v>668</v>
      </c>
      <c r="I13" s="304" t="s">
        <v>669</v>
      </c>
      <c r="J13" s="305">
        <v>22606</v>
      </c>
      <c r="K13" s="301" t="s">
        <v>665</v>
      </c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</row>
    <row r="14" spans="1:22" ht="15">
      <c r="A14" s="170"/>
      <c r="B14" s="67"/>
      <c r="C14" s="170"/>
      <c r="D14" s="170"/>
      <c r="E14" s="307"/>
      <c r="F14" s="307"/>
      <c r="G14" s="308"/>
      <c r="H14" s="307"/>
      <c r="I14" s="307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</row>
    <row r="15" spans="1:22" ht="15">
      <c r="A15" s="15"/>
      <c r="B15" s="309"/>
      <c r="C15" s="15"/>
      <c r="D15" s="15"/>
      <c r="E15" s="307"/>
      <c r="F15" s="307"/>
      <c r="G15" s="308"/>
      <c r="H15" s="307"/>
      <c r="I15" s="307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</row>
    <row r="16" spans="1:22" ht="15">
      <c r="A16" s="170"/>
      <c r="B16" s="67"/>
      <c r="C16" s="170"/>
      <c r="D16" s="170"/>
      <c r="E16" s="307"/>
      <c r="F16" s="307"/>
      <c r="G16" s="307"/>
      <c r="H16" s="307"/>
      <c r="I16" s="307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</row>
    <row r="17" spans="1:22" ht="15">
      <c r="A17" s="170"/>
      <c r="B17" s="67"/>
      <c r="C17" s="170"/>
      <c r="D17" s="170"/>
      <c r="E17" s="307"/>
      <c r="F17" s="307"/>
      <c r="G17" s="308"/>
      <c r="H17" s="307"/>
      <c r="I17" s="307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</row>
    <row r="18" spans="1:22" ht="12.75" customHeight="1">
      <c r="A18" s="415" t="s">
        <v>670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</row>
    <row r="19" spans="1:22" ht="13.5">
      <c r="A19" s="286"/>
      <c r="B19" s="286"/>
      <c r="C19" s="287"/>
      <c r="D19" s="287"/>
      <c r="E19" s="287"/>
      <c r="F19" s="288"/>
      <c r="G19" s="174"/>
      <c r="H19" s="174"/>
      <c r="I19" s="174"/>
      <c r="J19" s="174"/>
      <c r="K19" s="17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</row>
    <row r="20" spans="1:22" ht="13.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</row>
    <row r="21" spans="1:22" ht="12.75" customHeight="1">
      <c r="A21" s="412" t="s">
        <v>206</v>
      </c>
      <c r="B21" s="412" t="s">
        <v>648</v>
      </c>
      <c r="C21" s="412" t="s">
        <v>649</v>
      </c>
      <c r="D21" s="412" t="s">
        <v>650</v>
      </c>
      <c r="E21" s="412" t="s">
        <v>651</v>
      </c>
      <c r="F21" s="413" t="s">
        <v>652</v>
      </c>
      <c r="G21" s="413"/>
      <c r="H21" s="413"/>
      <c r="I21" s="413"/>
      <c r="J21" s="413"/>
      <c r="K21" s="412" t="s">
        <v>653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</row>
    <row r="22" spans="1:22" ht="13.5">
      <c r="A22" s="412"/>
      <c r="B22" s="412"/>
      <c r="C22" s="412"/>
      <c r="D22" s="412"/>
      <c r="E22" s="412"/>
      <c r="F22" s="291" t="s">
        <v>654</v>
      </c>
      <c r="G22" s="290" t="s">
        <v>655</v>
      </c>
      <c r="H22" s="290" t="s">
        <v>656</v>
      </c>
      <c r="I22" s="290" t="s">
        <v>657</v>
      </c>
      <c r="J22" s="290" t="s">
        <v>658</v>
      </c>
      <c r="K22" s="412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</row>
    <row r="23" spans="1:22" ht="12.75">
      <c r="A23" s="292">
        <v>1</v>
      </c>
      <c r="B23" s="293">
        <v>2</v>
      </c>
      <c r="C23" s="293">
        <v>3</v>
      </c>
      <c r="D23" s="292">
        <v>4</v>
      </c>
      <c r="E23" s="293">
        <v>5</v>
      </c>
      <c r="F23" s="293">
        <v>6</v>
      </c>
      <c r="G23" s="292">
        <v>7</v>
      </c>
      <c r="H23" s="293">
        <v>8</v>
      </c>
      <c r="I23" s="293">
        <v>9</v>
      </c>
      <c r="J23" s="292">
        <v>10</v>
      </c>
      <c r="K23" s="293">
        <v>11</v>
      </c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</row>
    <row r="24" spans="1:22" ht="12.75">
      <c r="A24" s="416"/>
      <c r="B24" s="417"/>
      <c r="C24" s="417"/>
      <c r="D24" s="296"/>
      <c r="E24" s="297"/>
      <c r="F24" s="298"/>
      <c r="G24" s="299"/>
      <c r="H24" s="299"/>
      <c r="I24" s="299"/>
      <c r="J24" s="300"/>
      <c r="K24" s="301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</row>
    <row r="25" spans="1:22" ht="12.75">
      <c r="A25" s="416"/>
      <c r="B25" s="417"/>
      <c r="C25" s="417"/>
      <c r="D25" s="296"/>
      <c r="E25" s="297"/>
      <c r="F25" s="303"/>
      <c r="G25" s="304"/>
      <c r="H25" s="304"/>
      <c r="I25" s="304"/>
      <c r="J25" s="305"/>
      <c r="K25" s="301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</row>
    <row r="26" spans="1:22" ht="15">
      <c r="A26" s="170"/>
      <c r="B26" s="67"/>
      <c r="C26" s="170"/>
      <c r="D26" s="170"/>
      <c r="E26" s="307"/>
      <c r="F26" s="307"/>
      <c r="G26" s="308"/>
      <c r="H26" s="307"/>
      <c r="I26" s="307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</row>
    <row r="27" spans="1:22" ht="15">
      <c r="A27" s="15"/>
      <c r="B27" s="309"/>
      <c r="C27" s="15"/>
      <c r="D27" s="15"/>
      <c r="E27" s="310"/>
      <c r="F27" s="310"/>
      <c r="G27" s="310"/>
      <c r="H27" s="310"/>
      <c r="I27" s="310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</row>
    <row r="28" spans="1:22" ht="15">
      <c r="A28" s="170"/>
      <c r="B28" s="67"/>
      <c r="C28" s="170"/>
      <c r="D28" s="170"/>
      <c r="E28" s="307"/>
      <c r="F28" s="307"/>
      <c r="G28" s="307"/>
      <c r="H28" s="307"/>
      <c r="I28" s="307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</row>
    <row r="29" spans="1:22" ht="15">
      <c r="A29" s="170"/>
      <c r="B29" s="67"/>
      <c r="C29" s="170"/>
      <c r="D29" s="170"/>
      <c r="E29" s="307"/>
      <c r="F29" s="307"/>
      <c r="G29" s="307"/>
      <c r="H29" s="307"/>
      <c r="I29" s="307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</row>
    <row r="30" spans="1:22" ht="15">
      <c r="A30" s="170"/>
      <c r="B30" s="67"/>
      <c r="C30" s="170"/>
      <c r="D30" s="170"/>
      <c r="E30" s="307"/>
      <c r="F30" s="307"/>
      <c r="G30" s="307"/>
      <c r="H30" s="307"/>
      <c r="I30" s="307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</row>
    <row r="31" spans="1:22" ht="15">
      <c r="A31" s="170"/>
      <c r="B31" s="67"/>
      <c r="C31" s="170"/>
      <c r="D31" s="170"/>
      <c r="E31" s="307"/>
      <c r="F31" s="307"/>
      <c r="G31" s="307"/>
      <c r="H31" s="307"/>
      <c r="I31" s="307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</row>
    <row r="32" spans="1:22" ht="15">
      <c r="A32" s="15"/>
      <c r="B32" s="309"/>
      <c r="C32" s="15"/>
      <c r="D32" s="15"/>
      <c r="E32" s="310"/>
      <c r="F32" s="310"/>
      <c r="G32" s="310"/>
      <c r="H32" s="310"/>
      <c r="I32" s="310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</row>
    <row r="33" spans="1:22" ht="15">
      <c r="A33" s="170"/>
      <c r="B33" s="67"/>
      <c r="C33" s="170"/>
      <c r="D33" s="170"/>
      <c r="E33" s="307"/>
      <c r="F33" s="307"/>
      <c r="G33" s="308"/>
      <c r="H33" s="307"/>
      <c r="I33" s="307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1:22" ht="15">
      <c r="A34" s="170"/>
      <c r="B34" s="67"/>
      <c r="C34" s="170"/>
      <c r="D34" s="170"/>
      <c r="E34" s="307"/>
      <c r="F34" s="307"/>
      <c r="G34" s="308"/>
      <c r="H34" s="307"/>
      <c r="I34" s="307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</row>
    <row r="35" spans="1:22" ht="15">
      <c r="A35" s="170"/>
      <c r="B35" s="67"/>
      <c r="C35" s="170"/>
      <c r="D35" s="170"/>
      <c r="E35" s="307"/>
      <c r="F35" s="307"/>
      <c r="G35" s="308"/>
      <c r="H35" s="307"/>
      <c r="I35" s="307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</row>
    <row r="36" spans="1:22" ht="15">
      <c r="A36" s="170"/>
      <c r="B36" s="67"/>
      <c r="C36" s="170"/>
      <c r="D36" s="170"/>
      <c r="E36" s="307"/>
      <c r="F36" s="307"/>
      <c r="G36" s="308"/>
      <c r="H36" s="307"/>
      <c r="I36" s="307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</row>
    <row r="37" spans="1:22" ht="15">
      <c r="A37" s="170"/>
      <c r="B37" s="67"/>
      <c r="C37" s="170"/>
      <c r="D37" s="170"/>
      <c r="E37" s="307"/>
      <c r="F37" s="307"/>
      <c r="G37" s="308"/>
      <c r="H37" s="307"/>
      <c r="I37" s="307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</row>
    <row r="38" spans="1:22" ht="15">
      <c r="A38" s="15"/>
      <c r="B38" s="309"/>
      <c r="C38" s="15"/>
      <c r="D38" s="15"/>
      <c r="E38" s="310"/>
      <c r="F38" s="310"/>
      <c r="G38" s="310"/>
      <c r="H38" s="310"/>
      <c r="I38" s="310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</row>
    <row r="39" spans="1:22" ht="15">
      <c r="A39" s="170"/>
      <c r="B39" s="67"/>
      <c r="C39" s="170"/>
      <c r="D39" s="170"/>
      <c r="E39" s="307"/>
      <c r="F39" s="307"/>
      <c r="G39" s="307"/>
      <c r="H39" s="307"/>
      <c r="I39" s="307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</row>
    <row r="40" spans="1:22" ht="15">
      <c r="A40" s="170"/>
      <c r="B40" s="67"/>
      <c r="C40" s="170"/>
      <c r="D40" s="170"/>
      <c r="E40" s="307"/>
      <c r="F40" s="307"/>
      <c r="G40" s="307"/>
      <c r="H40" s="307"/>
      <c r="I40" s="307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</row>
    <row r="41" spans="1:22" ht="15">
      <c r="A41" s="170"/>
      <c r="B41" s="67"/>
      <c r="C41" s="170"/>
      <c r="D41" s="170"/>
      <c r="E41" s="307"/>
      <c r="F41" s="307"/>
      <c r="G41" s="307"/>
      <c r="H41" s="307"/>
      <c r="I41" s="307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</row>
    <row r="42" spans="1:22" ht="15">
      <c r="A42" s="170"/>
      <c r="B42" s="67"/>
      <c r="C42" s="170"/>
      <c r="D42" s="170"/>
      <c r="E42" s="307"/>
      <c r="F42" s="307"/>
      <c r="G42" s="308"/>
      <c r="H42" s="307"/>
      <c r="I42" s="307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</row>
    <row r="43" spans="1:22" ht="15">
      <c r="A43" s="170"/>
      <c r="B43" s="67"/>
      <c r="C43" s="170"/>
      <c r="D43" s="170"/>
      <c r="E43" s="307"/>
      <c r="F43" s="307"/>
      <c r="G43" s="308"/>
      <c r="H43" s="307"/>
      <c r="I43" s="307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</row>
    <row r="44" spans="1:22" ht="15">
      <c r="A44" s="170"/>
      <c r="B44" s="67"/>
      <c r="C44" s="170"/>
      <c r="D44" s="170"/>
      <c r="E44" s="307"/>
      <c r="F44" s="307"/>
      <c r="G44" s="308"/>
      <c r="H44" s="307"/>
      <c r="I44" s="307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</row>
    <row r="45" spans="1:22" ht="15">
      <c r="A45" s="170"/>
      <c r="B45" s="67"/>
      <c r="C45" s="170"/>
      <c r="D45" s="170"/>
      <c r="E45" s="307"/>
      <c r="F45" s="307"/>
      <c r="G45" s="308"/>
      <c r="H45" s="307"/>
      <c r="I45" s="307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</row>
    <row r="46" spans="1:22" ht="15">
      <c r="A46" s="170"/>
      <c r="B46" s="67"/>
      <c r="C46" s="170"/>
      <c r="D46" s="170"/>
      <c r="E46" s="307"/>
      <c r="F46" s="307"/>
      <c r="G46" s="308"/>
      <c r="H46" s="307"/>
      <c r="I46" s="307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</row>
    <row r="47" spans="1:22" ht="15">
      <c r="A47" s="170"/>
      <c r="B47" s="67"/>
      <c r="C47" s="170"/>
      <c r="D47" s="170"/>
      <c r="E47" s="307"/>
      <c r="F47" s="307"/>
      <c r="G47" s="308"/>
      <c r="H47" s="307"/>
      <c r="I47" s="307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</row>
    <row r="48" spans="1:22" ht="15">
      <c r="A48" s="170"/>
      <c r="B48" s="67"/>
      <c r="C48" s="170"/>
      <c r="D48" s="170"/>
      <c r="E48" s="307"/>
      <c r="F48" s="307"/>
      <c r="G48" s="308"/>
      <c r="H48" s="307"/>
      <c r="I48" s="307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</row>
    <row r="49" spans="1:22" ht="15">
      <c r="A49" s="15"/>
      <c r="B49" s="309"/>
      <c r="C49" s="15"/>
      <c r="D49" s="15"/>
      <c r="E49" s="310"/>
      <c r="F49" s="310"/>
      <c r="G49" s="310"/>
      <c r="H49" s="310"/>
      <c r="I49" s="310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</row>
    <row r="50" spans="1:22" ht="15">
      <c r="A50" s="15"/>
      <c r="B50" s="309"/>
      <c r="C50" s="15"/>
      <c r="D50" s="15"/>
      <c r="E50" s="307"/>
      <c r="F50" s="307"/>
      <c r="G50" s="307"/>
      <c r="H50" s="307"/>
      <c r="I50" s="307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</row>
    <row r="51" spans="1:22" ht="15">
      <c r="A51" s="15"/>
      <c r="B51" s="309"/>
      <c r="C51" s="15"/>
      <c r="D51" s="15"/>
      <c r="E51" s="307"/>
      <c r="F51" s="307"/>
      <c r="G51" s="307"/>
      <c r="H51" s="307"/>
      <c r="I51" s="307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</row>
    <row r="52" spans="1:22" ht="15">
      <c r="A52" s="15"/>
      <c r="B52" s="309"/>
      <c r="C52" s="15"/>
      <c r="D52" s="15"/>
      <c r="E52" s="310"/>
      <c r="F52" s="310"/>
      <c r="G52" s="310"/>
      <c r="H52" s="310"/>
      <c r="I52" s="310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</row>
    <row r="53" spans="1:22" ht="15">
      <c r="A53" s="15"/>
      <c r="B53" s="309"/>
      <c r="C53" s="15"/>
      <c r="D53" s="15"/>
      <c r="E53" s="307"/>
      <c r="F53" s="307"/>
      <c r="G53" s="307"/>
      <c r="H53" s="307"/>
      <c r="I53" s="307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</row>
    <row r="54" spans="1:22" ht="15">
      <c r="A54" s="15"/>
      <c r="B54" s="309"/>
      <c r="C54" s="15"/>
      <c r="D54" s="15"/>
      <c r="E54" s="307"/>
      <c r="F54" s="307"/>
      <c r="G54" s="307"/>
      <c r="H54" s="307"/>
      <c r="I54" s="307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</row>
    <row r="55" spans="1:22" ht="15">
      <c r="A55" s="311"/>
      <c r="B55" s="309"/>
      <c r="C55" s="15"/>
      <c r="D55" s="15"/>
      <c r="E55" s="310"/>
      <c r="F55" s="310"/>
      <c r="G55" s="310"/>
      <c r="H55" s="310"/>
      <c r="I55" s="310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</row>
    <row r="56" spans="1:22" ht="15">
      <c r="A56" s="15"/>
      <c r="B56" s="309"/>
      <c r="C56" s="15"/>
      <c r="D56" s="15"/>
      <c r="E56" s="307"/>
      <c r="F56" s="307"/>
      <c r="G56" s="307"/>
      <c r="H56" s="307"/>
      <c r="I56" s="307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</row>
    <row r="57" spans="1:22" ht="15">
      <c r="A57" s="15"/>
      <c r="B57" s="309"/>
      <c r="C57" s="15"/>
      <c r="D57" s="15"/>
      <c r="E57" s="307"/>
      <c r="F57" s="307"/>
      <c r="G57" s="307"/>
      <c r="H57" s="307"/>
      <c r="I57" s="307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</row>
    <row r="58" spans="1:22" ht="15">
      <c r="A58" s="15"/>
      <c r="B58" s="309"/>
      <c r="C58" s="15"/>
      <c r="D58" s="15"/>
      <c r="E58" s="307"/>
      <c r="F58" s="307"/>
      <c r="G58" s="307"/>
      <c r="H58" s="307"/>
      <c r="I58" s="307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</row>
    <row r="59" spans="1:22" ht="15">
      <c r="A59" s="15"/>
      <c r="B59" s="309"/>
      <c r="C59" s="15"/>
      <c r="D59" s="15"/>
      <c r="E59" s="310"/>
      <c r="F59" s="310"/>
      <c r="G59" s="310"/>
      <c r="H59" s="310"/>
      <c r="I59" s="310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</row>
    <row r="60" spans="1:22" ht="15">
      <c r="A60" s="15"/>
      <c r="B60" s="309"/>
      <c r="C60" s="15"/>
      <c r="D60" s="15"/>
      <c r="E60" s="307"/>
      <c r="F60" s="307"/>
      <c r="G60" s="307"/>
      <c r="H60" s="307"/>
      <c r="I60" s="307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</row>
    <row r="61" spans="1:22" ht="15">
      <c r="A61" s="15"/>
      <c r="B61" s="309"/>
      <c r="C61" s="15"/>
      <c r="D61" s="15"/>
      <c r="E61" s="307"/>
      <c r="F61" s="307"/>
      <c r="G61" s="307"/>
      <c r="H61" s="307"/>
      <c r="I61" s="307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</row>
    <row r="62" spans="1:22" ht="15">
      <c r="A62" s="170"/>
      <c r="B62" s="67"/>
      <c r="C62" s="170"/>
      <c r="D62" s="170"/>
      <c r="E62" s="307"/>
      <c r="F62" s="307"/>
      <c r="G62" s="308"/>
      <c r="H62" s="307"/>
      <c r="I62" s="307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</row>
    <row r="63" spans="1:22" ht="15">
      <c r="A63" s="15"/>
      <c r="B63" s="309"/>
      <c r="C63" s="15"/>
      <c r="D63" s="15"/>
      <c r="E63" s="307"/>
      <c r="F63" s="307"/>
      <c r="G63" s="307"/>
      <c r="H63" s="307"/>
      <c r="I63" s="307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</row>
    <row r="64" spans="1:22" ht="15">
      <c r="A64" s="15"/>
      <c r="B64" s="309"/>
      <c r="C64" s="15"/>
      <c r="D64" s="15"/>
      <c r="E64" s="310"/>
      <c r="F64" s="310"/>
      <c r="G64" s="310"/>
      <c r="H64" s="310"/>
      <c r="I64" s="310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</row>
    <row r="65" spans="1:22" ht="15">
      <c r="A65" s="170"/>
      <c r="B65" s="67"/>
      <c r="C65" s="170"/>
      <c r="D65" s="170"/>
      <c r="E65" s="307"/>
      <c r="F65" s="307"/>
      <c r="G65" s="308"/>
      <c r="H65" s="307"/>
      <c r="I65" s="307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</row>
    <row r="66" spans="1:22" ht="15">
      <c r="A66" s="170"/>
      <c r="B66" s="67"/>
      <c r="C66" s="170"/>
      <c r="D66" s="170"/>
      <c r="E66" s="307"/>
      <c r="F66" s="307"/>
      <c r="G66" s="308"/>
      <c r="H66" s="307"/>
      <c r="I66" s="307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</row>
    <row r="67" spans="1:22" ht="15">
      <c r="A67" s="170"/>
      <c r="B67" s="67"/>
      <c r="C67" s="170"/>
      <c r="D67" s="170"/>
      <c r="E67" s="307"/>
      <c r="F67" s="307"/>
      <c r="G67" s="308"/>
      <c r="H67" s="307"/>
      <c r="I67" s="307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</row>
    <row r="68" spans="1:22" ht="15">
      <c r="A68" s="170"/>
      <c r="B68" s="67"/>
      <c r="C68" s="170"/>
      <c r="D68" s="170"/>
      <c r="E68" s="307"/>
      <c r="F68" s="307"/>
      <c r="G68" s="308"/>
      <c r="H68" s="307"/>
      <c r="I68" s="307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</row>
    <row r="69" spans="1:22" ht="15">
      <c r="A69" s="170"/>
      <c r="B69" s="67"/>
      <c r="C69" s="170"/>
      <c r="D69" s="170"/>
      <c r="E69" s="307"/>
      <c r="F69" s="307"/>
      <c r="G69" s="308"/>
      <c r="H69" s="307"/>
      <c r="I69" s="307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</row>
    <row r="70" spans="1:22" ht="15">
      <c r="A70" s="170"/>
      <c r="B70" s="67"/>
      <c r="C70" s="170"/>
      <c r="D70" s="170"/>
      <c r="E70" s="307"/>
      <c r="F70" s="307"/>
      <c r="G70" s="308"/>
      <c r="H70" s="307"/>
      <c r="I70" s="307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</row>
    <row r="71" spans="1:22" ht="15">
      <c r="A71" s="15"/>
      <c r="B71" s="309"/>
      <c r="C71" s="15"/>
      <c r="D71" s="15"/>
      <c r="E71" s="312"/>
      <c r="F71" s="312"/>
      <c r="G71" s="312"/>
      <c r="H71" s="312"/>
      <c r="I71" s="312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</row>
    <row r="72" spans="1:22" ht="15">
      <c r="A72" s="15"/>
      <c r="B72" s="309"/>
      <c r="C72" s="15"/>
      <c r="D72" s="15"/>
      <c r="E72" s="310"/>
      <c r="F72" s="310"/>
      <c r="G72" s="310"/>
      <c r="H72" s="310"/>
      <c r="I72" s="310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</row>
    <row r="73" spans="1:22" ht="15">
      <c r="A73" s="170"/>
      <c r="B73" s="67"/>
      <c r="C73" s="170"/>
      <c r="D73" s="170"/>
      <c r="E73" s="307"/>
      <c r="F73" s="307"/>
      <c r="G73" s="307"/>
      <c r="H73" s="307"/>
      <c r="I73" s="307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</row>
    <row r="74" spans="1:22" ht="15">
      <c r="A74" s="170"/>
      <c r="B74" s="67"/>
      <c r="C74" s="170"/>
      <c r="D74" s="170"/>
      <c r="E74" s="307"/>
      <c r="F74" s="307"/>
      <c r="G74" s="307"/>
      <c r="H74" s="307"/>
      <c r="I74" s="307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</row>
    <row r="75" spans="1:22" ht="15">
      <c r="A75" s="170"/>
      <c r="B75" s="67"/>
      <c r="C75" s="170"/>
      <c r="D75" s="170"/>
      <c r="E75" s="307"/>
      <c r="F75" s="307"/>
      <c r="G75" s="307"/>
      <c r="H75" s="307"/>
      <c r="I75" s="307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</row>
    <row r="76" spans="1:22" ht="15">
      <c r="A76" s="170"/>
      <c r="B76" s="67"/>
      <c r="C76" s="170"/>
      <c r="D76" s="170"/>
      <c r="E76" s="307"/>
      <c r="F76" s="307"/>
      <c r="G76" s="307"/>
      <c r="H76" s="307"/>
      <c r="I76" s="307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</row>
    <row r="77" spans="1:22" ht="15">
      <c r="A77" s="170"/>
      <c r="B77" s="67"/>
      <c r="C77" s="170"/>
      <c r="D77" s="170"/>
      <c r="E77" s="307"/>
      <c r="F77" s="307"/>
      <c r="G77" s="307"/>
      <c r="H77" s="307"/>
      <c r="I77" s="307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</row>
    <row r="78" spans="1:22" ht="15">
      <c r="A78" s="170"/>
      <c r="B78" s="67"/>
      <c r="C78" s="170"/>
      <c r="D78" s="170"/>
      <c r="E78" s="307"/>
      <c r="F78" s="307"/>
      <c r="G78" s="307"/>
      <c r="H78" s="307"/>
      <c r="I78" s="307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</row>
    <row r="79" spans="1:22" ht="15">
      <c r="A79" s="313"/>
      <c r="B79" s="67"/>
      <c r="C79" s="170"/>
      <c r="D79" s="170"/>
      <c r="E79" s="307"/>
      <c r="F79" s="307"/>
      <c r="G79" s="307"/>
      <c r="H79" s="307"/>
      <c r="I79" s="307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</row>
    <row r="80" spans="1:22" ht="15">
      <c r="A80" s="170"/>
      <c r="B80" s="67"/>
      <c r="C80" s="170"/>
      <c r="D80" s="170"/>
      <c r="E80" s="307"/>
      <c r="F80" s="307"/>
      <c r="G80" s="307"/>
      <c r="H80" s="307"/>
      <c r="I80" s="307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</row>
    <row r="81" spans="1:22" ht="15">
      <c r="A81" s="15"/>
      <c r="B81" s="309"/>
      <c r="C81" s="15"/>
      <c r="D81" s="15"/>
      <c r="E81" s="310"/>
      <c r="F81" s="310"/>
      <c r="G81" s="310"/>
      <c r="H81" s="310"/>
      <c r="I81" s="310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</row>
    <row r="82" spans="1:22" ht="15">
      <c r="A82" s="15"/>
      <c r="B82" s="309"/>
      <c r="C82" s="15"/>
      <c r="D82" s="15"/>
      <c r="E82" s="310"/>
      <c r="F82" s="310"/>
      <c r="G82" s="310"/>
      <c r="H82" s="310"/>
      <c r="I82" s="310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</row>
    <row r="83" spans="1:22" ht="15">
      <c r="A83" s="170"/>
      <c r="B83" s="67"/>
      <c r="C83" s="170"/>
      <c r="D83" s="170"/>
      <c r="E83" s="307"/>
      <c r="F83" s="307"/>
      <c r="G83" s="308"/>
      <c r="H83" s="307"/>
      <c r="I83" s="307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</row>
    <row r="84" spans="1:22" ht="15">
      <c r="A84" s="170"/>
      <c r="B84" s="67"/>
      <c r="C84" s="170"/>
      <c r="D84" s="170"/>
      <c r="E84" s="307"/>
      <c r="F84" s="307"/>
      <c r="G84" s="308"/>
      <c r="H84" s="307"/>
      <c r="I84" s="307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</row>
    <row r="85" spans="1:22" ht="15">
      <c r="A85" s="170"/>
      <c r="B85" s="67"/>
      <c r="C85" s="170"/>
      <c r="D85" s="170"/>
      <c r="E85" s="307"/>
      <c r="F85" s="307"/>
      <c r="G85" s="308"/>
      <c r="H85" s="307"/>
      <c r="I85" s="307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</row>
    <row r="86" spans="1:22" ht="15">
      <c r="A86" s="170"/>
      <c r="B86" s="67"/>
      <c r="C86" s="170"/>
      <c r="D86" s="170"/>
      <c r="E86" s="307"/>
      <c r="F86" s="307"/>
      <c r="G86" s="308"/>
      <c r="H86" s="307"/>
      <c r="I86" s="307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</row>
    <row r="87" spans="1:22" ht="15">
      <c r="A87" s="170"/>
      <c r="B87" s="67"/>
      <c r="C87" s="170"/>
      <c r="D87" s="170"/>
      <c r="E87" s="307"/>
      <c r="F87" s="307"/>
      <c r="G87" s="308"/>
      <c r="H87" s="307"/>
      <c r="I87" s="307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</row>
    <row r="88" spans="1:22" ht="15">
      <c r="A88" s="170"/>
      <c r="B88" s="67"/>
      <c r="C88" s="170"/>
      <c r="D88" s="170"/>
      <c r="E88" s="307"/>
      <c r="F88" s="307"/>
      <c r="G88" s="308"/>
      <c r="H88" s="307"/>
      <c r="I88" s="307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</row>
    <row r="89" spans="1:22" ht="15">
      <c r="A89" s="170"/>
      <c r="B89" s="67"/>
      <c r="C89" s="170"/>
      <c r="D89" s="170"/>
      <c r="E89" s="307"/>
      <c r="F89" s="307"/>
      <c r="G89" s="308"/>
      <c r="H89" s="307"/>
      <c r="I89" s="307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</row>
    <row r="90" spans="1:22" ht="15">
      <c r="A90" s="15"/>
      <c r="B90" s="309"/>
      <c r="C90" s="15"/>
      <c r="D90" s="15"/>
      <c r="E90" s="312"/>
      <c r="F90" s="312"/>
      <c r="G90" s="312"/>
      <c r="H90" s="312"/>
      <c r="I90" s="312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</row>
    <row r="91" spans="1:22" ht="12.7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</row>
    <row r="92" spans="1:22" ht="12.7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</row>
    <row r="93" spans="1:22" ht="12.7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</row>
    <row r="94" spans="1:22" ht="12.7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</row>
    <row r="95" spans="1:22" ht="12.7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</row>
    <row r="96" spans="1:22" ht="12.7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</row>
    <row r="97" spans="1:22" ht="12.7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</row>
    <row r="98" spans="1:22" ht="12.7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</row>
    <row r="99" spans="1:22" ht="12.7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</row>
    <row r="100" spans="1:22" ht="12.7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</row>
    <row r="101" spans="1:22" ht="12.7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</row>
  </sheetData>
  <sheetProtection selectLockedCells="1" selectUnlockedCells="1"/>
  <mergeCells count="24">
    <mergeCell ref="A24:A25"/>
    <mergeCell ref="B24:B25"/>
    <mergeCell ref="C24:C25"/>
    <mergeCell ref="A12:A13"/>
    <mergeCell ref="B12:B13"/>
    <mergeCell ref="C12:C13"/>
    <mergeCell ref="A18:K18"/>
    <mergeCell ref="A21:A22"/>
    <mergeCell ref="B21:B22"/>
    <mergeCell ref="C21:C22"/>
    <mergeCell ref="B2:F2"/>
    <mergeCell ref="B3:F3"/>
    <mergeCell ref="A6:K6"/>
    <mergeCell ref="A9:A10"/>
    <mergeCell ref="B9:B10"/>
    <mergeCell ref="C9:C10"/>
    <mergeCell ref="D9:D10"/>
    <mergeCell ref="E9:E10"/>
    <mergeCell ref="F9:J9"/>
    <mergeCell ref="K9:K10"/>
    <mergeCell ref="F21:J21"/>
    <mergeCell ref="K21:K22"/>
    <mergeCell ref="D21:D22"/>
    <mergeCell ref="E21:E22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77"/>
  <sheetViews>
    <sheetView zoomScalePageLayoutView="0" workbookViewId="0" topLeftCell="A22">
      <selection activeCell="J73" sqref="J73"/>
    </sheetView>
  </sheetViews>
  <sheetFormatPr defaultColWidth="9.50390625" defaultRowHeight="12.75"/>
  <cols>
    <col min="1" max="1" width="11.50390625" style="13" customWidth="1"/>
    <col min="2" max="2" width="43.50390625" style="13" customWidth="1"/>
    <col min="3" max="3" width="34.50390625" style="13" customWidth="1"/>
    <col min="4" max="4" width="6.50390625" style="13" customWidth="1"/>
    <col min="5" max="5" width="5.50390625" style="13" customWidth="1"/>
    <col min="6" max="6" width="6.50390625" style="13" customWidth="1"/>
    <col min="7" max="16384" width="9.50390625" style="13" customWidth="1"/>
  </cols>
  <sheetData>
    <row r="1" spans="1:5" ht="8.25" customHeight="1">
      <c r="A1" s="379"/>
      <c r="B1" s="379"/>
      <c r="C1" s="379"/>
      <c r="D1" s="379"/>
      <c r="E1" s="14"/>
    </row>
    <row r="2" spans="1:5" ht="15" hidden="1">
      <c r="A2" s="379"/>
      <c r="B2" s="379"/>
      <c r="C2" s="379"/>
      <c r="D2" s="379"/>
      <c r="E2" s="14"/>
    </row>
    <row r="3" spans="1:5" s="5" customFormat="1" ht="15" customHeight="1" hidden="1">
      <c r="A3" s="380"/>
      <c r="B3" s="380"/>
      <c r="C3" s="380"/>
      <c r="D3" s="380"/>
      <c r="E3" s="8"/>
    </row>
    <row r="4" spans="1:5" ht="6.75" customHeight="1">
      <c r="A4" s="14"/>
      <c r="B4" s="14"/>
      <c r="C4" s="14"/>
      <c r="D4" s="14"/>
      <c r="E4" s="14"/>
    </row>
    <row r="5" spans="1:5" ht="15">
      <c r="A5" s="15"/>
      <c r="B5" s="381"/>
      <c r="C5" s="381"/>
      <c r="D5" s="14"/>
      <c r="E5" s="14"/>
    </row>
    <row r="6" spans="1:5" ht="18.75" customHeight="1">
      <c r="A6" s="382" t="s">
        <v>23</v>
      </c>
      <c r="B6" s="382"/>
      <c r="C6" s="382"/>
      <c r="D6" s="382"/>
      <c r="E6" s="14"/>
    </row>
    <row r="7" spans="1:5" ht="12.75" customHeight="1">
      <c r="A7" s="16"/>
      <c r="B7" s="383" t="s">
        <v>24</v>
      </c>
      <c r="C7" s="383"/>
      <c r="D7" s="14"/>
      <c r="E7" s="14"/>
    </row>
    <row r="8" spans="1:5" ht="17.25">
      <c r="A8" s="17"/>
      <c r="B8" s="17"/>
      <c r="C8" s="17"/>
      <c r="D8" s="14"/>
      <c r="E8" s="14"/>
    </row>
    <row r="9" spans="1:5" ht="15">
      <c r="A9" s="18"/>
      <c r="D9" s="14"/>
      <c r="E9" s="14"/>
    </row>
    <row r="10" spans="1:5" ht="17.25">
      <c r="A10" s="19" t="s">
        <v>3</v>
      </c>
      <c r="B10" s="386" t="s">
        <v>4</v>
      </c>
      <c r="C10" s="386"/>
      <c r="D10" s="14"/>
      <c r="E10" s="14"/>
    </row>
    <row r="11" spans="1:5" ht="15">
      <c r="A11" s="20"/>
      <c r="B11" s="21"/>
      <c r="C11" s="22"/>
      <c r="D11" s="14"/>
      <c r="E11" s="14"/>
    </row>
    <row r="12" spans="1:5" ht="12.75" customHeight="1">
      <c r="A12" s="23"/>
      <c r="B12" s="387" t="s">
        <v>25</v>
      </c>
      <c r="C12" s="387"/>
      <c r="D12" s="14"/>
      <c r="E12" s="14"/>
    </row>
    <row r="13" spans="1:5" ht="42.75" customHeight="1">
      <c r="A13" s="24"/>
      <c r="B13" s="388" t="s">
        <v>1</v>
      </c>
      <c r="C13" s="388"/>
      <c r="D13" s="14"/>
      <c r="E13" s="14"/>
    </row>
    <row r="14" spans="1:5" ht="15">
      <c r="A14" s="26"/>
      <c r="B14" s="384" t="s">
        <v>26</v>
      </c>
      <c r="C14" s="384"/>
      <c r="D14" s="14"/>
      <c r="E14" s="14"/>
    </row>
    <row r="15" spans="1:5" ht="48" customHeight="1">
      <c r="A15" s="27"/>
      <c r="B15" s="388" t="s">
        <v>27</v>
      </c>
      <c r="C15" s="388"/>
      <c r="D15" s="14"/>
      <c r="E15" s="14"/>
    </row>
    <row r="16" spans="1:5" ht="46.5">
      <c r="A16" s="23"/>
      <c r="B16" s="28" t="s">
        <v>28</v>
      </c>
      <c r="C16" s="25" t="s">
        <v>29</v>
      </c>
      <c r="D16" s="14"/>
      <c r="E16" s="14"/>
    </row>
    <row r="17" spans="1:5" ht="30.75">
      <c r="A17" s="23"/>
      <c r="B17" s="29" t="s">
        <v>30</v>
      </c>
      <c r="C17" s="30" t="s">
        <v>31</v>
      </c>
      <c r="D17" s="14"/>
      <c r="E17" s="14"/>
    </row>
    <row r="18" spans="1:5" ht="30.75">
      <c r="A18" s="23"/>
      <c r="B18" s="29" t="s">
        <v>32</v>
      </c>
      <c r="C18" s="30" t="s">
        <v>31</v>
      </c>
      <c r="D18" s="14"/>
      <c r="E18" s="14"/>
    </row>
    <row r="19" spans="1:5" ht="15">
      <c r="A19" s="23"/>
      <c r="B19" s="29" t="s">
        <v>33</v>
      </c>
      <c r="C19" s="31" t="s">
        <v>34</v>
      </c>
      <c r="D19" s="14"/>
      <c r="E19" s="14"/>
    </row>
    <row r="20" spans="1:5" ht="15">
      <c r="A20" s="26"/>
      <c r="B20" s="29" t="s">
        <v>35</v>
      </c>
      <c r="C20" s="32" t="s">
        <v>36</v>
      </c>
      <c r="D20" s="14"/>
      <c r="E20" s="14"/>
    </row>
    <row r="21" spans="1:5" ht="30.75">
      <c r="A21" s="23"/>
      <c r="B21" s="29" t="s">
        <v>37</v>
      </c>
      <c r="C21" s="33" t="s">
        <v>38</v>
      </c>
      <c r="D21" s="14"/>
      <c r="E21" s="14"/>
    </row>
    <row r="22" spans="1:5" ht="15">
      <c r="A22" s="23"/>
      <c r="B22" s="29" t="s">
        <v>39</v>
      </c>
      <c r="C22" s="30" t="s">
        <v>40</v>
      </c>
      <c r="D22" s="14"/>
      <c r="E22" s="14"/>
    </row>
    <row r="23" spans="1:5" ht="15">
      <c r="A23" s="23"/>
      <c r="B23" s="29" t="s">
        <v>41</v>
      </c>
      <c r="C23" s="30" t="s">
        <v>42</v>
      </c>
      <c r="D23" s="14"/>
      <c r="E23" s="14"/>
    </row>
    <row r="24" spans="1:5" ht="15">
      <c r="A24" s="23"/>
      <c r="B24" s="29" t="s">
        <v>43</v>
      </c>
      <c r="C24" s="30" t="s">
        <v>44</v>
      </c>
      <c r="D24" s="14"/>
      <c r="E24" s="14"/>
    </row>
    <row r="25" spans="1:5" ht="15">
      <c r="A25" s="23"/>
      <c r="B25" s="29" t="s">
        <v>45</v>
      </c>
      <c r="C25" s="30" t="s">
        <v>46</v>
      </c>
      <c r="D25" s="14"/>
      <c r="E25" s="14"/>
    </row>
    <row r="26" spans="1:5" ht="15">
      <c r="A26" s="23"/>
      <c r="B26" s="29" t="s">
        <v>47</v>
      </c>
      <c r="C26" s="30" t="s">
        <v>48</v>
      </c>
      <c r="D26" s="14"/>
      <c r="E26" s="14"/>
    </row>
    <row r="27" spans="1:5" ht="15">
      <c r="A27" s="23"/>
      <c r="B27" s="29" t="s">
        <v>45</v>
      </c>
      <c r="C27" s="30" t="s">
        <v>49</v>
      </c>
      <c r="D27" s="14"/>
      <c r="E27" s="14"/>
    </row>
    <row r="28" spans="1:5" ht="15">
      <c r="A28" s="26"/>
      <c r="B28" s="29" t="s">
        <v>50</v>
      </c>
      <c r="C28" s="34">
        <v>40118</v>
      </c>
      <c r="D28" s="14"/>
      <c r="E28" s="14"/>
    </row>
    <row r="29" spans="1:5" ht="15">
      <c r="A29" s="26"/>
      <c r="B29" s="29" t="s">
        <v>51</v>
      </c>
      <c r="C29" s="35">
        <v>602</v>
      </c>
      <c r="D29" s="14"/>
      <c r="E29" s="14"/>
    </row>
    <row r="30" spans="1:5" ht="15">
      <c r="A30" s="378"/>
      <c r="B30" s="378"/>
      <c r="C30" s="378"/>
      <c r="D30" s="14"/>
      <c r="E30" s="14"/>
    </row>
    <row r="31" spans="1:5" ht="15">
      <c r="A31" s="36"/>
      <c r="B31" s="384" t="s">
        <v>52</v>
      </c>
      <c r="C31" s="384"/>
      <c r="D31" s="14"/>
      <c r="E31" s="14"/>
    </row>
    <row r="32" spans="1:5" ht="15">
      <c r="A32" s="27"/>
      <c r="B32" s="37" t="s">
        <v>53</v>
      </c>
      <c r="C32" s="30" t="s">
        <v>54</v>
      </c>
      <c r="D32" s="14"/>
      <c r="E32" s="14"/>
    </row>
    <row r="33" spans="1:5" ht="30.75">
      <c r="A33" s="27"/>
      <c r="B33" s="38" t="s">
        <v>55</v>
      </c>
      <c r="C33" s="39">
        <v>1095105001067</v>
      </c>
      <c r="D33" s="14"/>
      <c r="E33" s="14"/>
    </row>
    <row r="34" spans="1:5" ht="30.75">
      <c r="A34" s="40"/>
      <c r="B34" s="38" t="s">
        <v>56</v>
      </c>
      <c r="C34" s="41">
        <v>5112021086</v>
      </c>
      <c r="D34" s="14"/>
      <c r="E34" s="14"/>
    </row>
    <row r="35" spans="1:5" ht="188.25" customHeight="1">
      <c r="A35" s="40"/>
      <c r="B35" s="25" t="s">
        <v>57</v>
      </c>
      <c r="C35" s="30" t="s">
        <v>58</v>
      </c>
      <c r="D35" s="14"/>
      <c r="E35" s="14"/>
    </row>
    <row r="36" spans="1:5" ht="49.5" customHeight="1">
      <c r="A36" s="40"/>
      <c r="B36" s="38" t="s">
        <v>59</v>
      </c>
      <c r="C36" s="42" t="s">
        <v>38</v>
      </c>
      <c r="D36" s="14"/>
      <c r="E36" s="14"/>
    </row>
    <row r="37" spans="1:5" ht="62.25">
      <c r="A37" s="40"/>
      <c r="B37" s="25" t="s">
        <v>60</v>
      </c>
      <c r="C37" s="42" t="s">
        <v>38</v>
      </c>
      <c r="D37" s="14"/>
      <c r="E37" s="14"/>
    </row>
    <row r="38" spans="1:5" ht="15">
      <c r="A38" s="43"/>
      <c r="B38" s="38"/>
      <c r="C38" s="42"/>
      <c r="D38" s="14"/>
      <c r="E38" s="14"/>
    </row>
    <row r="39" spans="1:5" ht="12.75" customHeight="1">
      <c r="A39" s="44"/>
      <c r="B39" s="385" t="s">
        <v>61</v>
      </c>
      <c r="C39" s="385"/>
      <c r="D39" s="14"/>
      <c r="E39" s="14"/>
    </row>
    <row r="40" spans="1:5" ht="15">
      <c r="A40" s="27"/>
      <c r="B40" s="38" t="s">
        <v>62</v>
      </c>
      <c r="C40" s="35" t="s">
        <v>63</v>
      </c>
      <c r="D40" s="14"/>
      <c r="E40" s="14"/>
    </row>
    <row r="41" spans="1:5" ht="15">
      <c r="A41" s="27"/>
      <c r="B41" s="37" t="s">
        <v>64</v>
      </c>
      <c r="C41" s="35" t="s">
        <v>63</v>
      </c>
      <c r="D41" s="14"/>
      <c r="E41" s="14"/>
    </row>
    <row r="42" spans="1:5" ht="15">
      <c r="A42" s="27"/>
      <c r="B42" s="37" t="s">
        <v>65</v>
      </c>
      <c r="C42" s="45" t="s">
        <v>63</v>
      </c>
      <c r="D42" s="14"/>
      <c r="E42" s="14"/>
    </row>
    <row r="43" spans="1:5" ht="15">
      <c r="A43" s="40"/>
      <c r="B43" s="25" t="s">
        <v>33</v>
      </c>
      <c r="C43" s="45" t="s">
        <v>63</v>
      </c>
      <c r="D43" s="14"/>
      <c r="E43" s="14"/>
    </row>
    <row r="44" spans="1:5" ht="15">
      <c r="A44" s="40"/>
      <c r="B44" s="25" t="s">
        <v>35</v>
      </c>
      <c r="C44" s="45" t="s">
        <v>63</v>
      </c>
      <c r="D44" s="14"/>
      <c r="E44" s="14"/>
    </row>
    <row r="45" spans="1:5" ht="15">
      <c r="A45" s="40"/>
      <c r="B45" s="25" t="s">
        <v>66</v>
      </c>
      <c r="C45" s="45" t="s">
        <v>63</v>
      </c>
      <c r="D45" s="14"/>
      <c r="E45" s="14"/>
    </row>
    <row r="46" spans="1:5" ht="30.75">
      <c r="A46" s="43"/>
      <c r="B46" s="25" t="s">
        <v>67</v>
      </c>
      <c r="C46" s="45" t="s">
        <v>63</v>
      </c>
      <c r="D46" s="14"/>
      <c r="E46" s="14"/>
    </row>
    <row r="47" spans="1:5" ht="30.75">
      <c r="A47" s="46"/>
      <c r="B47" s="25" t="s">
        <v>68</v>
      </c>
      <c r="C47" s="47" t="s">
        <v>63</v>
      </c>
      <c r="D47" s="14"/>
      <c r="E47" s="14"/>
    </row>
    <row r="48" spans="1:3" ht="15">
      <c r="A48" s="48"/>
      <c r="B48" s="49"/>
      <c r="C48" s="48"/>
    </row>
    <row r="49" spans="1:3" ht="15">
      <c r="A49" s="50"/>
      <c r="B49" s="384" t="s">
        <v>69</v>
      </c>
      <c r="C49" s="384"/>
    </row>
    <row r="50" spans="1:3" ht="15">
      <c r="A50" s="51"/>
      <c r="B50" s="38" t="s">
        <v>70</v>
      </c>
      <c r="C50" s="52" t="s">
        <v>63</v>
      </c>
    </row>
    <row r="51" spans="1:3" ht="46.5">
      <c r="A51" s="51"/>
      <c r="B51" s="38" t="s">
        <v>71</v>
      </c>
      <c r="C51" s="52" t="s">
        <v>63</v>
      </c>
    </row>
    <row r="52" spans="1:3" ht="15">
      <c r="A52" s="51"/>
      <c r="B52" s="38" t="s">
        <v>72</v>
      </c>
      <c r="C52" s="52" t="s">
        <v>63</v>
      </c>
    </row>
    <row r="53" spans="1:3" ht="15">
      <c r="A53" s="51"/>
      <c r="B53" s="38" t="s">
        <v>73</v>
      </c>
      <c r="C53" s="52" t="s">
        <v>63</v>
      </c>
    </row>
    <row r="54" spans="1:3" ht="15">
      <c r="A54" s="51"/>
      <c r="B54" s="38" t="s">
        <v>74</v>
      </c>
      <c r="C54" s="52" t="s">
        <v>63</v>
      </c>
    </row>
    <row r="55" spans="1:3" ht="46.5">
      <c r="A55" s="51"/>
      <c r="B55" s="38" t="s">
        <v>75</v>
      </c>
      <c r="C55" s="52" t="s">
        <v>63</v>
      </c>
    </row>
    <row r="56" spans="1:3" ht="15">
      <c r="A56" s="53"/>
      <c r="B56" s="54"/>
      <c r="C56" s="55"/>
    </row>
    <row r="57" spans="1:3" ht="15">
      <c r="A57" s="56"/>
      <c r="B57" s="384" t="s">
        <v>76</v>
      </c>
      <c r="C57" s="384"/>
    </row>
    <row r="58" spans="1:3" ht="30.75">
      <c r="A58" s="40"/>
      <c r="B58" s="57" t="s">
        <v>77</v>
      </c>
      <c r="C58" s="58">
        <v>1115.1</v>
      </c>
    </row>
    <row r="59" spans="1:3" ht="50.25" customHeight="1">
      <c r="A59" s="40"/>
      <c r="B59" s="59" t="s">
        <v>78</v>
      </c>
      <c r="C59" s="30" t="s">
        <v>79</v>
      </c>
    </row>
    <row r="60" spans="1:3" ht="15">
      <c r="A60" s="40"/>
      <c r="B60" s="31"/>
      <c r="C60" s="42"/>
    </row>
    <row r="61" spans="1:3" ht="15">
      <c r="A61" s="40"/>
      <c r="B61" s="31"/>
      <c r="C61" s="42"/>
    </row>
    <row r="62" spans="1:3" ht="15">
      <c r="A62" s="40"/>
      <c r="B62" s="31"/>
      <c r="C62" s="60"/>
    </row>
    <row r="63" spans="1:3" ht="15">
      <c r="A63" s="40"/>
      <c r="B63" s="31"/>
      <c r="C63" s="61"/>
    </row>
    <row r="64" spans="1:3" ht="15">
      <c r="A64" s="40"/>
      <c r="B64" s="62"/>
      <c r="C64" s="42"/>
    </row>
    <row r="65" spans="1:13" ht="12.75" customHeight="1">
      <c r="A65" s="56"/>
      <c r="B65" s="385" t="s">
        <v>80</v>
      </c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</row>
    <row r="66" spans="1:256" ht="15">
      <c r="A66" s="43"/>
      <c r="B66" s="63"/>
      <c r="C66" s="64"/>
      <c r="D66"/>
      <c r="IL66"/>
      <c r="IM66"/>
      <c r="IN66"/>
      <c r="IO66"/>
      <c r="IP66"/>
      <c r="IQ66"/>
      <c r="IR66"/>
      <c r="IS66"/>
      <c r="IT66"/>
      <c r="IU66"/>
      <c r="IV66"/>
    </row>
    <row r="67" spans="1:256" ht="46.5">
      <c r="A67" s="43"/>
      <c r="B67" s="65" t="s">
        <v>81</v>
      </c>
      <c r="C67" s="42">
        <v>60.2</v>
      </c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40"/>
      <c r="B68" s="66" t="s">
        <v>82</v>
      </c>
      <c r="C68" s="42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40"/>
      <c r="B69" s="38" t="s">
        <v>83</v>
      </c>
      <c r="C69" s="42" t="s">
        <v>63</v>
      </c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40"/>
      <c r="B70" s="38" t="s">
        <v>84</v>
      </c>
      <c r="C70" s="42" t="s">
        <v>63</v>
      </c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40"/>
      <c r="B71" s="38" t="s">
        <v>85</v>
      </c>
      <c r="C71" s="42">
        <v>15.9</v>
      </c>
      <c r="IL71"/>
      <c r="IM71"/>
      <c r="IN71"/>
      <c r="IO71"/>
      <c r="IP71"/>
      <c r="IQ71"/>
      <c r="IR71"/>
      <c r="IS71"/>
      <c r="IT71"/>
      <c r="IU71"/>
      <c r="IV71"/>
    </row>
    <row r="72" spans="1:8" ht="15">
      <c r="A72" s="53"/>
      <c r="B72" s="67"/>
      <c r="C72" s="55"/>
      <c r="D72" s="68"/>
      <c r="E72" s="68"/>
      <c r="F72" s="68"/>
      <c r="G72" s="14"/>
      <c r="H72" s="14"/>
    </row>
    <row r="73" spans="1:3" ht="62.25">
      <c r="A73" s="54"/>
      <c r="B73" s="69" t="s">
        <v>86</v>
      </c>
      <c r="C73" s="70"/>
    </row>
    <row r="74" spans="1:3" ht="15">
      <c r="A74" s="54"/>
      <c r="B74" s="69"/>
      <c r="C74" s="71"/>
    </row>
    <row r="75" spans="1:3" ht="15">
      <c r="A75" s="54"/>
      <c r="B75" s="69"/>
      <c r="C75" s="71"/>
    </row>
    <row r="76" spans="1:3" ht="15">
      <c r="A76" s="54"/>
      <c r="B76" s="69"/>
      <c r="C76" s="71"/>
    </row>
    <row r="77" spans="1:3" ht="15">
      <c r="A77" s="54"/>
      <c r="B77" s="69"/>
      <c r="C77" s="71"/>
    </row>
  </sheetData>
  <sheetProtection selectLockedCells="1" selectUnlockedCells="1"/>
  <mergeCells count="17">
    <mergeCell ref="B31:C31"/>
    <mergeCell ref="B39:C39"/>
    <mergeCell ref="B49:C49"/>
    <mergeCell ref="B57:C57"/>
    <mergeCell ref="B65:M65"/>
    <mergeCell ref="B10:C10"/>
    <mergeCell ref="B12:C12"/>
    <mergeCell ref="B13:C13"/>
    <mergeCell ref="B14:C14"/>
    <mergeCell ref="B15:C15"/>
    <mergeCell ref="A30:C30"/>
    <mergeCell ref="A1:D1"/>
    <mergeCell ref="A2:D2"/>
    <mergeCell ref="A3:D3"/>
    <mergeCell ref="B5:C5"/>
    <mergeCell ref="A6:D6"/>
    <mergeCell ref="B7:C7"/>
  </mergeCells>
  <hyperlinks>
    <hyperlink ref="C20" r:id="rId1" display="Snegnogorsk@socmurman.ru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G89"/>
  <sheetViews>
    <sheetView zoomScale="115" zoomScaleNormal="115" zoomScaleSheetLayoutView="100" zoomScalePageLayoutView="0" workbookViewId="0" topLeftCell="A77">
      <selection activeCell="C83" sqref="C83"/>
    </sheetView>
  </sheetViews>
  <sheetFormatPr defaultColWidth="9.50390625" defaultRowHeight="12.75"/>
  <cols>
    <col min="1" max="1" width="7.50390625" style="13" customWidth="1"/>
    <col min="2" max="2" width="40.875" style="13" customWidth="1"/>
    <col min="3" max="3" width="40.50390625" style="13" customWidth="1"/>
    <col min="4" max="4" width="19.00390625" style="72" customWidth="1"/>
    <col min="5" max="5" width="24.50390625" style="72" customWidth="1"/>
    <col min="6" max="6" width="14.50390625" style="48" customWidth="1"/>
    <col min="7" max="7" width="33.50390625" style="72" customWidth="1"/>
    <col min="8" max="10" width="9.50390625" style="72" customWidth="1"/>
    <col min="11" max="16384" width="9.50390625" style="13" customWidth="1"/>
  </cols>
  <sheetData>
    <row r="1" spans="1:5" ht="15">
      <c r="A1" s="379" t="s">
        <v>87</v>
      </c>
      <c r="B1" s="379"/>
      <c r="C1" s="379"/>
      <c r="D1" s="379"/>
      <c r="E1" s="379"/>
    </row>
    <row r="2" spans="1:33" ht="15">
      <c r="A2" s="389" t="s">
        <v>23</v>
      </c>
      <c r="B2" s="389"/>
      <c r="C2" s="389"/>
      <c r="D2" s="389"/>
      <c r="E2" s="389"/>
      <c r="F2" s="326"/>
      <c r="G2" s="76"/>
      <c r="H2" s="76"/>
      <c r="I2" s="76"/>
      <c r="J2" s="76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5" customFormat="1" ht="9.75" customHeight="1">
      <c r="A3" s="74"/>
      <c r="B3" s="390" t="s">
        <v>24</v>
      </c>
      <c r="C3" s="390"/>
      <c r="D3" s="390"/>
      <c r="E3" s="390"/>
      <c r="F3" s="327"/>
      <c r="G3" s="319"/>
      <c r="H3" s="319"/>
      <c r="I3" s="319"/>
      <c r="J3" s="319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3.5" customHeight="1">
      <c r="A4" s="73"/>
      <c r="B4" s="73"/>
      <c r="C4" s="73"/>
      <c r="D4" s="76"/>
      <c r="E4" s="76"/>
      <c r="F4" s="326"/>
      <c r="G4" s="76"/>
      <c r="H4" s="76"/>
      <c r="I4" s="76"/>
      <c r="J4" s="76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5">
      <c r="A5" s="77"/>
      <c r="B5" s="77"/>
      <c r="C5" s="78"/>
      <c r="D5" s="79"/>
      <c r="E5" s="79" t="s">
        <v>678</v>
      </c>
      <c r="F5" s="320"/>
      <c r="G5" s="76"/>
      <c r="H5" s="76"/>
      <c r="I5" s="76"/>
      <c r="J5" s="76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s="72" customFormat="1" ht="45" customHeight="1">
      <c r="A6" s="24"/>
      <c r="B6" s="80" t="s">
        <v>88</v>
      </c>
      <c r="C6" s="81" t="s">
        <v>89</v>
      </c>
      <c r="D6" s="324" t="s">
        <v>90</v>
      </c>
      <c r="E6" s="344" t="s">
        <v>91</v>
      </c>
      <c r="F6" s="320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57.75" customHeight="1">
      <c r="A7" s="82">
        <v>1</v>
      </c>
      <c r="B7" s="83" t="s">
        <v>92</v>
      </c>
      <c r="C7" s="391" t="s">
        <v>93</v>
      </c>
      <c r="D7" s="86">
        <v>380</v>
      </c>
      <c r="E7" s="318">
        <v>3257900.68</v>
      </c>
      <c r="F7" s="328"/>
      <c r="G7" s="76"/>
      <c r="H7" s="76"/>
      <c r="I7" s="76"/>
      <c r="J7" s="76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57.75" customHeight="1">
      <c r="A8" s="82">
        <v>2</v>
      </c>
      <c r="B8" s="83" t="s">
        <v>679</v>
      </c>
      <c r="C8" s="391"/>
      <c r="D8" s="86">
        <v>126</v>
      </c>
      <c r="E8" s="317">
        <v>13356926.5</v>
      </c>
      <c r="F8" s="328"/>
      <c r="G8" s="76"/>
      <c r="H8" s="76"/>
      <c r="I8" s="76"/>
      <c r="J8" s="76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59.25" customHeight="1">
      <c r="A9" s="84">
        <v>3</v>
      </c>
      <c r="B9" s="85" t="s">
        <v>94</v>
      </c>
      <c r="C9" s="391"/>
      <c r="D9" s="86">
        <v>1282</v>
      </c>
      <c r="E9" s="345">
        <v>45633592.81999999</v>
      </c>
      <c r="F9" s="329"/>
      <c r="G9" s="76"/>
      <c r="H9" s="76"/>
      <c r="I9" s="76"/>
      <c r="J9" s="76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ht="50.25" customHeight="1">
      <c r="A10" s="84">
        <v>4</v>
      </c>
      <c r="B10" s="87" t="s">
        <v>95</v>
      </c>
      <c r="C10" s="391"/>
      <c r="D10" s="86">
        <v>641</v>
      </c>
      <c r="E10" s="345">
        <v>7908744.86</v>
      </c>
      <c r="F10" s="326"/>
      <c r="G10" s="321"/>
      <c r="H10" s="76"/>
      <c r="I10" s="76"/>
      <c r="J10" s="76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s="72" customFormat="1" ht="91.5" customHeight="1">
      <c r="A11" s="84"/>
      <c r="B11" s="88" t="s">
        <v>96</v>
      </c>
      <c r="C11" s="391" t="s">
        <v>97</v>
      </c>
      <c r="D11" s="86">
        <v>5523</v>
      </c>
      <c r="E11" s="345">
        <v>24333986.689999998</v>
      </c>
      <c r="F11" s="330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36.75" customHeight="1">
      <c r="A12" s="84">
        <v>5</v>
      </c>
      <c r="B12" s="83" t="s">
        <v>98</v>
      </c>
      <c r="C12" s="391"/>
      <c r="D12" s="86">
        <v>3126</v>
      </c>
      <c r="E12" s="345">
        <v>20897730</v>
      </c>
      <c r="F12" s="331"/>
      <c r="G12" s="76"/>
      <c r="H12" s="76"/>
      <c r="I12" s="76"/>
      <c r="J12" s="76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6.5" customHeight="1">
      <c r="A13" s="84">
        <v>6</v>
      </c>
      <c r="B13" s="83" t="s">
        <v>99</v>
      </c>
      <c r="C13" s="391"/>
      <c r="D13" s="333">
        <v>0</v>
      </c>
      <c r="E13" s="345">
        <v>0</v>
      </c>
      <c r="F13" s="326"/>
      <c r="G13" s="76"/>
      <c r="H13" s="76"/>
      <c r="I13" s="76"/>
      <c r="J13" s="76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s="72" customFormat="1" ht="31.5" customHeight="1">
      <c r="A14" s="84">
        <v>7</v>
      </c>
      <c r="B14" s="90" t="s">
        <v>100</v>
      </c>
      <c r="C14" s="391"/>
      <c r="D14" s="86">
        <v>9</v>
      </c>
      <c r="E14" s="318">
        <v>62870.579999999994</v>
      </c>
      <c r="F14" s="331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29.25" customHeight="1">
      <c r="A15" s="84">
        <v>8</v>
      </c>
      <c r="B15" s="91" t="s">
        <v>101</v>
      </c>
      <c r="C15" s="391"/>
      <c r="D15" s="86">
        <v>2388</v>
      </c>
      <c r="E15" s="345">
        <v>3373386.1100000003</v>
      </c>
      <c r="F15" s="326"/>
      <c r="G15" s="76"/>
      <c r="H15" s="76"/>
      <c r="I15" s="76"/>
      <c r="J15" s="76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s="72" customFormat="1" ht="31.5" customHeight="1">
      <c r="A16" s="84"/>
      <c r="B16" s="92" t="s">
        <v>102</v>
      </c>
      <c r="C16" s="391"/>
      <c r="D16" s="86">
        <v>3125</v>
      </c>
      <c r="E16" s="345">
        <v>35161803.080000006</v>
      </c>
      <c r="F16" s="32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35.25" customHeight="1">
      <c r="A17" s="84">
        <v>9</v>
      </c>
      <c r="B17" s="83" t="s">
        <v>98</v>
      </c>
      <c r="C17" s="391"/>
      <c r="D17" s="86">
        <v>3115</v>
      </c>
      <c r="E17" s="345">
        <v>34950658.580000006</v>
      </c>
      <c r="F17" s="326"/>
      <c r="G17" s="76"/>
      <c r="H17" s="76"/>
      <c r="I17" s="76"/>
      <c r="J17" s="76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ht="38.25">
      <c r="A18" s="84">
        <v>10</v>
      </c>
      <c r="B18" s="83" t="s">
        <v>100</v>
      </c>
      <c r="C18" s="391"/>
      <c r="D18" s="86">
        <v>10</v>
      </c>
      <c r="E18" s="345">
        <v>211144.5</v>
      </c>
      <c r="F18" s="326"/>
      <c r="G18" s="76"/>
      <c r="H18" s="76"/>
      <c r="I18" s="76"/>
      <c r="J18" s="76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33" ht="35.25" customHeight="1">
      <c r="A19" s="84">
        <v>11</v>
      </c>
      <c r="B19" s="85" t="s">
        <v>103</v>
      </c>
      <c r="C19" s="391"/>
      <c r="D19" s="86">
        <v>0</v>
      </c>
      <c r="E19" s="345">
        <v>0</v>
      </c>
      <c r="F19" s="326"/>
      <c r="G19" s="76"/>
      <c r="H19" s="76"/>
      <c r="I19" s="76"/>
      <c r="J19" s="76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ht="33.75" customHeight="1">
      <c r="A20" s="93">
        <v>12</v>
      </c>
      <c r="B20" s="85" t="s">
        <v>104</v>
      </c>
      <c r="C20" s="391"/>
      <c r="D20" s="86">
        <v>0</v>
      </c>
      <c r="E20" s="345">
        <v>0</v>
      </c>
      <c r="F20" s="326"/>
      <c r="G20" s="76"/>
      <c r="H20" s="76"/>
      <c r="I20" s="76"/>
      <c r="J20" s="76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33" ht="89.25" customHeight="1">
      <c r="A21" s="93">
        <v>13</v>
      </c>
      <c r="B21" s="85" t="s">
        <v>105</v>
      </c>
      <c r="C21" s="83" t="s">
        <v>106</v>
      </c>
      <c r="D21" s="86">
        <v>14</v>
      </c>
      <c r="E21" s="345">
        <v>31925.879999999997</v>
      </c>
      <c r="F21" s="326"/>
      <c r="G21" s="76"/>
      <c r="H21" s="76"/>
      <c r="I21" s="76"/>
      <c r="J21" s="76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</row>
    <row r="22" spans="1:33" s="72" customFormat="1" ht="63" customHeight="1">
      <c r="A22" s="84">
        <v>14</v>
      </c>
      <c r="B22" s="90" t="s">
        <v>107</v>
      </c>
      <c r="C22" s="392" t="s">
        <v>108</v>
      </c>
      <c r="D22" s="86">
        <v>1567</v>
      </c>
      <c r="E22" s="345">
        <v>15539432.32</v>
      </c>
      <c r="F22" s="32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72" customFormat="1" ht="51.75" customHeight="1">
      <c r="A23" s="84">
        <v>15</v>
      </c>
      <c r="B23" s="90" t="s">
        <v>109</v>
      </c>
      <c r="C23" s="392"/>
      <c r="D23" s="86">
        <v>148</v>
      </c>
      <c r="E23" s="345">
        <v>111194.74999999999</v>
      </c>
      <c r="F23" s="32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72" customHeight="1">
      <c r="A24" s="84">
        <v>16</v>
      </c>
      <c r="B24" s="83" t="s">
        <v>110</v>
      </c>
      <c r="C24" s="83" t="s">
        <v>111</v>
      </c>
      <c r="D24" s="334">
        <v>400</v>
      </c>
      <c r="E24" s="345">
        <v>5282972.17</v>
      </c>
      <c r="F24" s="326"/>
      <c r="G24" s="76"/>
      <c r="H24" s="76"/>
      <c r="I24" s="76"/>
      <c r="J24" s="76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53.25" customHeight="1">
      <c r="A25" s="84">
        <v>17</v>
      </c>
      <c r="B25" s="85" t="s">
        <v>112</v>
      </c>
      <c r="C25" s="391" t="s">
        <v>113</v>
      </c>
      <c r="D25" s="334">
        <v>517</v>
      </c>
      <c r="E25" s="345">
        <v>1507219.08</v>
      </c>
      <c r="F25" s="326"/>
      <c r="G25" s="76"/>
      <c r="H25" s="76"/>
      <c r="I25" s="76"/>
      <c r="J25" s="76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3" ht="66.75" customHeight="1">
      <c r="A26" s="84">
        <v>18</v>
      </c>
      <c r="B26" s="85" t="s">
        <v>114</v>
      </c>
      <c r="C26" s="391"/>
      <c r="D26" s="335">
        <v>10</v>
      </c>
      <c r="E26" s="345">
        <v>58676.31</v>
      </c>
      <c r="F26" s="326"/>
      <c r="G26" s="76"/>
      <c r="H26" s="76"/>
      <c r="I26" s="76"/>
      <c r="J26" s="76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ht="68.25" customHeight="1">
      <c r="A27" s="84">
        <v>19</v>
      </c>
      <c r="B27" s="85" t="s">
        <v>115</v>
      </c>
      <c r="C27" s="391"/>
      <c r="D27" s="86">
        <v>7</v>
      </c>
      <c r="E27" s="345">
        <v>109789.26000000001</v>
      </c>
      <c r="F27" s="326"/>
      <c r="G27" s="76"/>
      <c r="H27" s="76"/>
      <c r="I27" s="76"/>
      <c r="J27" s="76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67.5" customHeight="1">
      <c r="A28" s="84">
        <v>20</v>
      </c>
      <c r="B28" s="85" t="s">
        <v>116</v>
      </c>
      <c r="C28" s="83" t="s">
        <v>117</v>
      </c>
      <c r="D28" s="86">
        <v>0</v>
      </c>
      <c r="E28" s="345">
        <v>0</v>
      </c>
      <c r="F28" s="326"/>
      <c r="G28" s="76"/>
      <c r="H28" s="76"/>
      <c r="I28" s="76"/>
      <c r="J28" s="76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ht="146.25" customHeight="1">
      <c r="A29" s="84">
        <v>21</v>
      </c>
      <c r="B29" s="85" t="s">
        <v>118</v>
      </c>
      <c r="C29" s="83" t="s">
        <v>119</v>
      </c>
      <c r="D29" s="86">
        <v>0</v>
      </c>
      <c r="E29" s="345">
        <v>0</v>
      </c>
      <c r="F29" s="326"/>
      <c r="G29" s="76"/>
      <c r="H29" s="76"/>
      <c r="I29" s="76"/>
      <c r="J29" s="76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ht="63.75" customHeight="1">
      <c r="A30" s="84">
        <v>22</v>
      </c>
      <c r="B30" s="83" t="s">
        <v>120</v>
      </c>
      <c r="C30" s="394" t="s">
        <v>121</v>
      </c>
      <c r="D30" s="86">
        <v>4</v>
      </c>
      <c r="E30" s="345">
        <v>124675.52</v>
      </c>
      <c r="F30" s="326"/>
      <c r="G30" s="76"/>
      <c r="H30" s="76"/>
      <c r="I30" s="76"/>
      <c r="J30" s="76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1:33" ht="60.75" customHeight="1">
      <c r="A31" s="84">
        <v>23</v>
      </c>
      <c r="B31" s="83" t="s">
        <v>122</v>
      </c>
      <c r="C31" s="394"/>
      <c r="D31" s="86">
        <v>3</v>
      </c>
      <c r="E31" s="345">
        <v>14856.54</v>
      </c>
      <c r="F31" s="326"/>
      <c r="G31" s="76"/>
      <c r="H31" s="76"/>
      <c r="I31" s="76"/>
      <c r="J31" s="76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3" ht="74.25" customHeight="1">
      <c r="A32" s="84">
        <v>24</v>
      </c>
      <c r="B32" s="83" t="s">
        <v>123</v>
      </c>
      <c r="C32" s="394"/>
      <c r="D32" s="86">
        <v>9</v>
      </c>
      <c r="E32" s="345">
        <v>90000</v>
      </c>
      <c r="F32" s="326"/>
      <c r="G32" s="76"/>
      <c r="H32" s="76"/>
      <c r="I32" s="76"/>
      <c r="J32" s="76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86.25" customHeight="1">
      <c r="A33" s="84">
        <v>25</v>
      </c>
      <c r="B33" s="83" t="s">
        <v>124</v>
      </c>
      <c r="C33" s="83" t="s">
        <v>125</v>
      </c>
      <c r="D33" s="336">
        <v>14</v>
      </c>
      <c r="E33" s="345">
        <v>70000</v>
      </c>
      <c r="F33" s="326"/>
      <c r="G33" s="76"/>
      <c r="H33" s="76"/>
      <c r="I33" s="76"/>
      <c r="J33" s="76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70.5" customHeight="1">
      <c r="A34" s="84">
        <v>26</v>
      </c>
      <c r="B34" s="83" t="s">
        <v>126</v>
      </c>
      <c r="C34" s="85" t="s">
        <v>127</v>
      </c>
      <c r="D34" s="337">
        <v>291</v>
      </c>
      <c r="E34" s="346">
        <v>291000</v>
      </c>
      <c r="F34" s="326"/>
      <c r="G34" s="76"/>
      <c r="H34" s="76"/>
      <c r="I34" s="76"/>
      <c r="J34" s="76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57" customHeight="1">
      <c r="A35" s="84">
        <v>27</v>
      </c>
      <c r="B35" s="83" t="s">
        <v>128</v>
      </c>
      <c r="C35" s="394" t="s">
        <v>129</v>
      </c>
      <c r="D35" s="337">
        <v>7</v>
      </c>
      <c r="E35" s="346">
        <v>105000</v>
      </c>
      <c r="F35" s="326"/>
      <c r="G35" s="76"/>
      <c r="H35" s="76"/>
      <c r="I35" s="76"/>
      <c r="J35" s="76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ht="39">
      <c r="A36" s="84">
        <v>28</v>
      </c>
      <c r="B36" s="83" t="s">
        <v>130</v>
      </c>
      <c r="C36" s="394"/>
      <c r="D36" s="337">
        <v>0</v>
      </c>
      <c r="E36" s="346">
        <v>0</v>
      </c>
      <c r="F36" s="326"/>
      <c r="G36" s="76"/>
      <c r="H36" s="76"/>
      <c r="I36" s="76"/>
      <c r="J36" s="76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</row>
    <row r="37" spans="1:33" ht="25.5">
      <c r="A37" s="84">
        <v>29</v>
      </c>
      <c r="B37" s="83" t="s">
        <v>131</v>
      </c>
      <c r="C37" s="394"/>
      <c r="D37" s="337">
        <v>242</v>
      </c>
      <c r="E37" s="346">
        <v>145200</v>
      </c>
      <c r="F37" s="326"/>
      <c r="G37" s="76"/>
      <c r="H37" s="76"/>
      <c r="I37" s="76"/>
      <c r="J37" s="76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ht="84" customHeight="1">
      <c r="A38" s="84">
        <v>30</v>
      </c>
      <c r="B38" s="83" t="s">
        <v>132</v>
      </c>
      <c r="C38" s="83" t="s">
        <v>133</v>
      </c>
      <c r="D38" s="337">
        <v>3</v>
      </c>
      <c r="E38" s="346">
        <v>54000</v>
      </c>
      <c r="F38" s="326"/>
      <c r="G38" s="76"/>
      <c r="H38" s="76"/>
      <c r="I38" s="76"/>
      <c r="J38" s="76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1:33" s="72" customFormat="1" ht="101.25" customHeight="1">
      <c r="A39" s="84">
        <v>31</v>
      </c>
      <c r="B39" s="90" t="s">
        <v>134</v>
      </c>
      <c r="C39" s="90" t="s">
        <v>135</v>
      </c>
      <c r="D39" s="337">
        <v>0</v>
      </c>
      <c r="E39" s="346">
        <v>0</v>
      </c>
      <c r="F39" s="32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 ht="81.75" customHeight="1">
      <c r="A40" s="84">
        <v>32</v>
      </c>
      <c r="B40" s="90" t="s">
        <v>136</v>
      </c>
      <c r="C40" s="90" t="s">
        <v>137</v>
      </c>
      <c r="D40" s="338">
        <v>1599</v>
      </c>
      <c r="E40" s="347">
        <v>30096484.94</v>
      </c>
      <c r="F40" s="326"/>
      <c r="G40" s="76"/>
      <c r="H40" s="76"/>
      <c r="I40" s="76"/>
      <c r="J40" s="76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33" ht="66.75" customHeight="1">
      <c r="A41" s="84">
        <v>33</v>
      </c>
      <c r="B41" s="83" t="s">
        <v>138</v>
      </c>
      <c r="C41" s="83" t="s">
        <v>139</v>
      </c>
      <c r="D41" s="337">
        <v>140</v>
      </c>
      <c r="E41" s="346">
        <v>2199333.2199999997</v>
      </c>
      <c r="F41" s="326"/>
      <c r="G41" s="76"/>
      <c r="H41" s="76"/>
      <c r="I41" s="76"/>
      <c r="J41" s="76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</row>
    <row r="42" spans="1:33" ht="45" customHeight="1">
      <c r="A42" s="84">
        <v>34</v>
      </c>
      <c r="B42" s="83" t="s">
        <v>140</v>
      </c>
      <c r="C42" s="391" t="s">
        <v>141</v>
      </c>
      <c r="D42" s="337">
        <v>10</v>
      </c>
      <c r="E42" s="346">
        <v>159150.69</v>
      </c>
      <c r="F42" s="326"/>
      <c r="G42" s="76"/>
      <c r="H42" s="76"/>
      <c r="I42" s="76"/>
      <c r="J42" s="76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 spans="1:33" ht="63" customHeight="1">
      <c r="A43" s="84">
        <v>35</v>
      </c>
      <c r="B43" s="90" t="s">
        <v>142</v>
      </c>
      <c r="C43" s="391"/>
      <c r="D43" s="337">
        <v>0</v>
      </c>
      <c r="E43" s="346">
        <v>0</v>
      </c>
      <c r="F43" s="326"/>
      <c r="G43" s="76"/>
      <c r="H43" s="76"/>
      <c r="I43" s="76"/>
      <c r="J43" s="76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ht="57" customHeight="1">
      <c r="A44" s="84">
        <v>36</v>
      </c>
      <c r="B44" s="90" t="s">
        <v>143</v>
      </c>
      <c r="C44" s="391"/>
      <c r="D44" s="337">
        <v>0</v>
      </c>
      <c r="E44" s="346">
        <v>0</v>
      </c>
      <c r="F44" s="326"/>
      <c r="G44" s="76"/>
      <c r="H44" s="76"/>
      <c r="I44" s="76"/>
      <c r="J44" s="76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33" ht="78.75" customHeight="1">
      <c r="A45" s="84">
        <v>37</v>
      </c>
      <c r="B45" s="90" t="s">
        <v>144</v>
      </c>
      <c r="C45" s="391"/>
      <c r="D45" s="337">
        <v>0</v>
      </c>
      <c r="E45" s="346">
        <v>0</v>
      </c>
      <c r="F45" s="326"/>
      <c r="G45" s="76"/>
      <c r="H45" s="76"/>
      <c r="I45" s="76"/>
      <c r="J45" s="76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3" s="95" customFormat="1" ht="70.5" customHeight="1">
      <c r="A46" s="84">
        <v>38</v>
      </c>
      <c r="B46" s="94" t="s">
        <v>145</v>
      </c>
      <c r="C46" s="391"/>
      <c r="D46" s="337">
        <v>0</v>
      </c>
      <c r="E46" s="346">
        <v>0</v>
      </c>
      <c r="F46" s="326"/>
      <c r="G46" s="76"/>
      <c r="H46" s="76"/>
      <c r="I46" s="76"/>
      <c r="J46" s="76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</row>
    <row r="47" spans="1:33" s="72" customFormat="1" ht="48" customHeight="1">
      <c r="A47" s="84">
        <v>39</v>
      </c>
      <c r="B47" s="90" t="s">
        <v>146</v>
      </c>
      <c r="C47" s="391"/>
      <c r="D47" s="337">
        <v>0</v>
      </c>
      <c r="E47" s="346">
        <v>0</v>
      </c>
      <c r="F47" s="32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 ht="39">
      <c r="A48" s="84">
        <v>40</v>
      </c>
      <c r="B48" s="83" t="s">
        <v>147</v>
      </c>
      <c r="C48" s="391"/>
      <c r="D48" s="337">
        <v>0</v>
      </c>
      <c r="E48" s="346">
        <v>0</v>
      </c>
      <c r="F48" s="326"/>
      <c r="G48" s="76"/>
      <c r="H48" s="76"/>
      <c r="I48" s="76"/>
      <c r="J48" s="7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72" customFormat="1" ht="40.5" customHeight="1">
      <c r="A49" s="84">
        <v>41</v>
      </c>
      <c r="B49" s="96" t="s">
        <v>148</v>
      </c>
      <c r="C49" s="391"/>
      <c r="D49" s="337">
        <v>0</v>
      </c>
      <c r="E49" s="346">
        <v>0</v>
      </c>
      <c r="F49" s="32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 ht="51">
      <c r="A50" s="84">
        <v>42</v>
      </c>
      <c r="B50" s="87" t="s">
        <v>149</v>
      </c>
      <c r="C50" s="97" t="s">
        <v>150</v>
      </c>
      <c r="D50" s="337">
        <v>0</v>
      </c>
      <c r="E50" s="346">
        <v>0</v>
      </c>
      <c r="F50" s="326"/>
      <c r="G50" s="76"/>
      <c r="H50" s="76"/>
      <c r="I50" s="76"/>
      <c r="J50" s="7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3" ht="38.25" customHeight="1">
      <c r="A51" s="84">
        <v>43</v>
      </c>
      <c r="B51" s="83" t="s">
        <v>151</v>
      </c>
      <c r="C51" s="391" t="s">
        <v>152</v>
      </c>
      <c r="D51" s="337">
        <v>0</v>
      </c>
      <c r="E51" s="346">
        <v>0</v>
      </c>
      <c r="F51" s="326"/>
      <c r="G51" s="76"/>
      <c r="H51" s="76"/>
      <c r="I51" s="76"/>
      <c r="J51" s="7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1:33" ht="39">
      <c r="A52" s="84">
        <v>44</v>
      </c>
      <c r="B52" s="83" t="s">
        <v>153</v>
      </c>
      <c r="C52" s="391"/>
      <c r="D52" s="337">
        <v>0</v>
      </c>
      <c r="E52" s="346">
        <v>0</v>
      </c>
      <c r="F52" s="326"/>
      <c r="G52" s="76"/>
      <c r="H52" s="76"/>
      <c r="I52" s="76"/>
      <c r="J52" s="76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</row>
    <row r="53" spans="1:33" ht="39">
      <c r="A53" s="84">
        <v>45</v>
      </c>
      <c r="B53" s="91" t="s">
        <v>154</v>
      </c>
      <c r="C53" s="391"/>
      <c r="D53" s="337">
        <v>0</v>
      </c>
      <c r="E53" s="346">
        <v>0</v>
      </c>
      <c r="F53" s="326"/>
      <c r="G53" s="76"/>
      <c r="H53" s="76"/>
      <c r="I53" s="76"/>
      <c r="J53" s="76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73.5" customHeight="1">
      <c r="A54" s="84">
        <v>46</v>
      </c>
      <c r="B54" s="91" t="s">
        <v>155</v>
      </c>
      <c r="C54" s="83" t="s">
        <v>156</v>
      </c>
      <c r="D54" s="339">
        <v>0</v>
      </c>
      <c r="E54" s="348">
        <v>0</v>
      </c>
      <c r="F54" s="326"/>
      <c r="G54" s="76"/>
      <c r="H54" s="76"/>
      <c r="I54" s="76"/>
      <c r="J54" s="76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</row>
    <row r="55" spans="1:33" s="72" customFormat="1" ht="126" customHeight="1">
      <c r="A55" s="84">
        <v>47</v>
      </c>
      <c r="B55" s="90" t="s">
        <v>157</v>
      </c>
      <c r="C55" s="98" t="s">
        <v>158</v>
      </c>
      <c r="D55" s="337">
        <v>0</v>
      </c>
      <c r="E55" s="346">
        <v>0</v>
      </c>
      <c r="F55" s="32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 ht="126.75" customHeight="1">
      <c r="A56" s="84">
        <v>48</v>
      </c>
      <c r="B56" s="99" t="s">
        <v>159</v>
      </c>
      <c r="C56" s="100" t="s">
        <v>160</v>
      </c>
      <c r="D56" s="340">
        <v>0</v>
      </c>
      <c r="E56" s="318">
        <v>0</v>
      </c>
      <c r="F56" s="326"/>
      <c r="G56" s="76"/>
      <c r="H56" s="76"/>
      <c r="I56" s="76"/>
      <c r="J56" s="76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33" ht="76.5">
      <c r="A57" s="84">
        <v>49</v>
      </c>
      <c r="B57" s="83" t="s">
        <v>161</v>
      </c>
      <c r="C57" s="83" t="s">
        <v>162</v>
      </c>
      <c r="D57" s="341">
        <v>452</v>
      </c>
      <c r="E57" s="349">
        <v>50931162.76</v>
      </c>
      <c r="F57" s="326"/>
      <c r="G57" s="76"/>
      <c r="H57" s="76"/>
      <c r="I57" s="76"/>
      <c r="J57" s="76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1" s="103" customFormat="1" ht="63.75" customHeight="1">
      <c r="A58" s="84">
        <v>50</v>
      </c>
      <c r="B58" s="101" t="s">
        <v>163</v>
      </c>
      <c r="C58" s="101" t="s">
        <v>164</v>
      </c>
      <c r="D58" s="340">
        <v>100</v>
      </c>
      <c r="E58" s="318">
        <v>0</v>
      </c>
      <c r="F58" s="332"/>
      <c r="G58" s="322"/>
      <c r="H58" s="322"/>
      <c r="I58" s="322"/>
      <c r="J58" s="32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31" ht="66">
      <c r="A59" s="84">
        <v>51</v>
      </c>
      <c r="B59" s="83" t="s">
        <v>165</v>
      </c>
      <c r="C59" s="83" t="s">
        <v>166</v>
      </c>
      <c r="D59" s="342">
        <v>250</v>
      </c>
      <c r="E59" s="346">
        <v>13957137.85</v>
      </c>
      <c r="F59" s="326"/>
      <c r="G59" s="76"/>
      <c r="H59" s="76"/>
      <c r="I59" s="76"/>
      <c r="J59" s="76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</row>
    <row r="60" spans="1:33" s="95" customFormat="1" ht="119.25" customHeight="1">
      <c r="A60" s="84">
        <v>52</v>
      </c>
      <c r="B60" s="104" t="s">
        <v>167</v>
      </c>
      <c r="C60" s="105" t="s">
        <v>168</v>
      </c>
      <c r="D60" s="342">
        <v>0</v>
      </c>
      <c r="E60" s="346">
        <v>0</v>
      </c>
      <c r="F60" s="326"/>
      <c r="G60" s="76"/>
      <c r="H60" s="76"/>
      <c r="I60" s="76"/>
      <c r="J60" s="76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</row>
    <row r="61" spans="1:33" ht="68.25" customHeight="1">
      <c r="A61" s="84">
        <v>53</v>
      </c>
      <c r="B61" s="106" t="s">
        <v>169</v>
      </c>
      <c r="C61" s="105" t="s">
        <v>170</v>
      </c>
      <c r="D61" s="337">
        <v>415</v>
      </c>
      <c r="E61" s="346">
        <v>41359224.6</v>
      </c>
      <c r="F61" s="173"/>
      <c r="G61" s="156"/>
      <c r="H61" s="156"/>
      <c r="I61" s="76"/>
      <c r="J61" s="76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</row>
    <row r="62" spans="1:33" ht="39">
      <c r="A62" s="84">
        <v>54</v>
      </c>
      <c r="B62" s="106" t="s">
        <v>171</v>
      </c>
      <c r="C62" s="107" t="s">
        <v>172</v>
      </c>
      <c r="D62" s="343">
        <v>200</v>
      </c>
      <c r="E62" s="348">
        <v>15280463.340000002</v>
      </c>
      <c r="F62" s="326"/>
      <c r="G62" s="76"/>
      <c r="H62" s="76"/>
      <c r="I62" s="76"/>
      <c r="J62" s="76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10" s="110" customFormat="1" ht="52.5">
      <c r="A63" s="84">
        <v>55</v>
      </c>
      <c r="B63" s="108" t="s">
        <v>173</v>
      </c>
      <c r="C63" s="109" t="s">
        <v>174</v>
      </c>
      <c r="D63" s="343">
        <v>617</v>
      </c>
      <c r="E63" s="348">
        <v>60862338.47</v>
      </c>
      <c r="F63" s="69"/>
      <c r="G63" s="323"/>
      <c r="H63" s="323"/>
      <c r="I63" s="323"/>
      <c r="J63" s="323"/>
    </row>
    <row r="64" spans="1:33" ht="79.5">
      <c r="A64" s="84">
        <v>56</v>
      </c>
      <c r="B64" s="108" t="s">
        <v>175</v>
      </c>
      <c r="C64" s="111" t="s">
        <v>176</v>
      </c>
      <c r="D64" s="343">
        <v>0</v>
      </c>
      <c r="E64" s="348">
        <v>0</v>
      </c>
      <c r="F64" s="326"/>
      <c r="G64" s="76"/>
      <c r="H64" s="76"/>
      <c r="I64" s="76"/>
      <c r="J64" s="76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28.25" customHeight="1">
      <c r="A65" s="84">
        <v>57</v>
      </c>
      <c r="B65" s="108" t="s">
        <v>177</v>
      </c>
      <c r="C65" s="109" t="s">
        <v>178</v>
      </c>
      <c r="D65" s="343">
        <v>0</v>
      </c>
      <c r="E65" s="348">
        <v>0</v>
      </c>
      <c r="F65" s="326"/>
      <c r="G65" s="76"/>
      <c r="H65" s="76"/>
      <c r="I65" s="76"/>
      <c r="J65" s="76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52.5">
      <c r="A66" s="84">
        <v>58</v>
      </c>
      <c r="B66" s="109" t="s">
        <v>179</v>
      </c>
      <c r="C66" s="109" t="s">
        <v>180</v>
      </c>
      <c r="D66" s="325">
        <v>236</v>
      </c>
      <c r="E66" s="350">
        <v>284338.2</v>
      </c>
      <c r="F66" s="326"/>
      <c r="G66" s="76"/>
      <c r="H66" s="76"/>
      <c r="I66" s="76"/>
      <c r="J66" s="76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45" customHeight="1">
      <c r="A67" s="84">
        <v>59</v>
      </c>
      <c r="B67" s="109" t="s">
        <v>179</v>
      </c>
      <c r="C67" s="109" t="s">
        <v>181</v>
      </c>
      <c r="D67" s="325">
        <v>58</v>
      </c>
      <c r="E67" s="350">
        <v>543165.83</v>
      </c>
      <c r="F67" s="326"/>
      <c r="G67" s="76"/>
      <c r="H67" s="76"/>
      <c r="I67" s="76"/>
      <c r="J67" s="76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5" ht="66">
      <c r="A68" s="84">
        <v>60</v>
      </c>
      <c r="B68" s="109" t="s">
        <v>182</v>
      </c>
      <c r="C68" s="109" t="s">
        <v>183</v>
      </c>
      <c r="D68" s="339">
        <v>19</v>
      </c>
      <c r="E68" s="348">
        <v>536812.37</v>
      </c>
    </row>
    <row r="69" spans="1:33" s="95" customFormat="1" ht="57.75" customHeight="1">
      <c r="A69" s="84">
        <v>61</v>
      </c>
      <c r="B69" s="112" t="s">
        <v>184</v>
      </c>
      <c r="C69" s="395" t="s">
        <v>185</v>
      </c>
      <c r="D69" s="339">
        <v>4</v>
      </c>
      <c r="E69" s="348">
        <v>0</v>
      </c>
      <c r="F69" s="170"/>
      <c r="G69" s="76"/>
      <c r="H69" s="76"/>
      <c r="I69" s="76"/>
      <c r="J69" s="76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</row>
    <row r="70" spans="1:33" s="95" customFormat="1" ht="42" customHeight="1">
      <c r="A70" s="84">
        <v>62</v>
      </c>
      <c r="B70" s="112" t="s">
        <v>186</v>
      </c>
      <c r="C70" s="395"/>
      <c r="D70" s="339">
        <v>7</v>
      </c>
      <c r="E70" s="348">
        <v>0</v>
      </c>
      <c r="F70" s="170"/>
      <c r="G70" s="76"/>
      <c r="H70" s="76"/>
      <c r="I70" s="76"/>
      <c r="J70" s="76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</row>
    <row r="71" spans="1:33" s="115" customFormat="1" ht="34.5" customHeight="1">
      <c r="A71" s="84">
        <v>63</v>
      </c>
      <c r="B71" s="113" t="s">
        <v>187</v>
      </c>
      <c r="C71" s="100" t="s">
        <v>188</v>
      </c>
      <c r="D71" s="339">
        <v>589</v>
      </c>
      <c r="E71" s="348">
        <v>0</v>
      </c>
      <c r="F71" s="326"/>
      <c r="G71" s="76"/>
      <c r="H71" s="76"/>
      <c r="I71" s="76"/>
      <c r="J71" s="76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</row>
    <row r="72" spans="1:33" s="115" customFormat="1" ht="63.75" customHeight="1">
      <c r="A72" s="84">
        <v>64</v>
      </c>
      <c r="B72" s="113" t="s">
        <v>189</v>
      </c>
      <c r="C72" s="393" t="s">
        <v>190</v>
      </c>
      <c r="D72" s="339">
        <v>360</v>
      </c>
      <c r="E72" s="348">
        <v>0</v>
      </c>
      <c r="F72" s="326"/>
      <c r="G72" s="76"/>
      <c r="H72" s="76"/>
      <c r="I72" s="76"/>
      <c r="J72" s="76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</row>
    <row r="73" spans="1:33" s="115" customFormat="1" ht="54" customHeight="1">
      <c r="A73" s="84">
        <v>65</v>
      </c>
      <c r="B73" s="113" t="s">
        <v>191</v>
      </c>
      <c r="C73" s="393"/>
      <c r="D73" s="339">
        <v>302</v>
      </c>
      <c r="E73" s="348">
        <v>0</v>
      </c>
      <c r="F73" s="326"/>
      <c r="G73" s="76"/>
      <c r="H73" s="76"/>
      <c r="I73" s="76"/>
      <c r="J73" s="76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</row>
    <row r="74" spans="1:33" s="115" customFormat="1" ht="62.25" customHeight="1">
      <c r="A74" s="84">
        <v>66</v>
      </c>
      <c r="B74" s="113" t="s">
        <v>192</v>
      </c>
      <c r="C74" s="393" t="s">
        <v>193</v>
      </c>
      <c r="D74" s="339">
        <v>52</v>
      </c>
      <c r="E74" s="348">
        <v>0</v>
      </c>
      <c r="F74" s="326"/>
      <c r="G74" s="76"/>
      <c r="H74" s="76"/>
      <c r="I74" s="76"/>
      <c r="J74" s="76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</row>
    <row r="75" spans="1:33" s="115" customFormat="1" ht="50.25" customHeight="1">
      <c r="A75" s="84">
        <v>67</v>
      </c>
      <c r="B75" s="113" t="s">
        <v>194</v>
      </c>
      <c r="C75" s="393"/>
      <c r="D75" s="339">
        <v>49</v>
      </c>
      <c r="E75" s="348">
        <v>0</v>
      </c>
      <c r="F75" s="326"/>
      <c r="G75" s="76"/>
      <c r="H75" s="76"/>
      <c r="I75" s="76"/>
      <c r="J75" s="76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</row>
    <row r="76" spans="1:33" s="115" customFormat="1" ht="132">
      <c r="A76" s="84">
        <v>68</v>
      </c>
      <c r="B76" s="113" t="s">
        <v>195</v>
      </c>
      <c r="C76" s="96" t="s">
        <v>196</v>
      </c>
      <c r="D76" s="339">
        <v>0</v>
      </c>
      <c r="E76" s="348">
        <v>0</v>
      </c>
      <c r="F76" s="326"/>
      <c r="G76" s="76"/>
      <c r="H76" s="76"/>
      <c r="I76" s="76"/>
      <c r="J76" s="76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</row>
    <row r="77" spans="1:33" s="115" customFormat="1" ht="118.5">
      <c r="A77" s="84">
        <v>69</v>
      </c>
      <c r="B77" s="113" t="s">
        <v>197</v>
      </c>
      <c r="C77" s="90" t="s">
        <v>198</v>
      </c>
      <c r="D77" s="339">
        <v>0</v>
      </c>
      <c r="E77" s="348">
        <v>0</v>
      </c>
      <c r="F77" s="326"/>
      <c r="G77" s="76"/>
      <c r="H77" s="76"/>
      <c r="I77" s="76"/>
      <c r="J77" s="76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</row>
    <row r="78" spans="1:33" ht="92.25">
      <c r="A78" s="84">
        <v>70</v>
      </c>
      <c r="B78" s="113" t="s">
        <v>199</v>
      </c>
      <c r="C78" s="90" t="s">
        <v>200</v>
      </c>
      <c r="D78" s="351">
        <v>0</v>
      </c>
      <c r="E78" s="352">
        <v>0</v>
      </c>
      <c r="F78" s="326"/>
      <c r="G78" s="76"/>
      <c r="H78" s="76"/>
      <c r="I78" s="76"/>
      <c r="J78" s="76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</row>
    <row r="79" spans="1:31" s="115" customFormat="1" ht="92.25">
      <c r="A79" s="84">
        <v>71</v>
      </c>
      <c r="B79" s="113" t="s">
        <v>201</v>
      </c>
      <c r="C79" s="99" t="s">
        <v>202</v>
      </c>
      <c r="D79" s="355">
        <v>0</v>
      </c>
      <c r="E79" s="348">
        <v>0</v>
      </c>
      <c r="F79" s="326"/>
      <c r="G79" s="76"/>
      <c r="H79" s="76"/>
      <c r="I79" s="76"/>
      <c r="J79" s="76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</row>
    <row r="80" spans="1:33" s="115" customFormat="1" ht="52.5">
      <c r="A80" s="84">
        <v>72</v>
      </c>
      <c r="B80" s="353" t="s">
        <v>203</v>
      </c>
      <c r="C80" s="354" t="s">
        <v>204</v>
      </c>
      <c r="D80" s="72">
        <v>0</v>
      </c>
      <c r="E80" s="72">
        <v>0</v>
      </c>
      <c r="F80" s="326"/>
      <c r="G80" s="76"/>
      <c r="H80" s="76"/>
      <c r="I80" s="76"/>
      <c r="J80" s="76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</row>
    <row r="81" spans="3:5" ht="15">
      <c r="C81" s="116"/>
      <c r="D81" s="13"/>
      <c r="E81" s="13"/>
    </row>
    <row r="82" spans="3:4" ht="15">
      <c r="C82" s="116"/>
      <c r="D82"/>
    </row>
    <row r="83" ht="15">
      <c r="C83" s="116"/>
    </row>
    <row r="84" ht="15">
      <c r="C84" s="116"/>
    </row>
    <row r="85" ht="15">
      <c r="C85" s="116"/>
    </row>
    <row r="86" ht="15">
      <c r="C86" s="116"/>
    </row>
    <row r="87" ht="15">
      <c r="C87" s="116"/>
    </row>
    <row r="88" ht="15">
      <c r="C88" s="116"/>
    </row>
    <row r="89" ht="15">
      <c r="C89" s="116"/>
    </row>
  </sheetData>
  <sheetProtection selectLockedCells="1" selectUnlockedCells="1"/>
  <mergeCells count="14">
    <mergeCell ref="C72:C73"/>
    <mergeCell ref="C74:C75"/>
    <mergeCell ref="C25:C27"/>
    <mergeCell ref="C30:C32"/>
    <mergeCell ref="C35:C37"/>
    <mergeCell ref="C42:C49"/>
    <mergeCell ref="C51:C53"/>
    <mergeCell ref="C69:C70"/>
    <mergeCell ref="A1:E1"/>
    <mergeCell ref="A2:E2"/>
    <mergeCell ref="B3:E3"/>
    <mergeCell ref="C7:C10"/>
    <mergeCell ref="C11:C20"/>
    <mergeCell ref="C22:C23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Z92"/>
  <sheetViews>
    <sheetView zoomScale="60" zoomScaleNormal="60" zoomScalePageLayoutView="0" workbookViewId="0" topLeftCell="B1">
      <selection activeCell="Z52" sqref="Z52"/>
    </sheetView>
  </sheetViews>
  <sheetFormatPr defaultColWidth="9.00390625" defaultRowHeight="12.75"/>
  <cols>
    <col min="1" max="1" width="6.50390625" style="0" customWidth="1"/>
    <col min="2" max="2" width="45.50390625" style="0" customWidth="1"/>
    <col min="3" max="3" width="12.50390625" style="0" customWidth="1"/>
    <col min="4" max="4" width="16.50390625" style="13" customWidth="1"/>
    <col min="5" max="5" width="13.625" style="13" customWidth="1"/>
    <col min="6" max="6" width="12.00390625" style="13" customWidth="1"/>
    <col min="7" max="7" width="12.375" style="0" customWidth="1"/>
    <col min="8" max="8" width="12.00390625" style="0" customWidth="1"/>
    <col min="9" max="9" width="13.00390625" style="0" customWidth="1"/>
    <col min="10" max="11" width="12.00390625" style="0" customWidth="1"/>
    <col min="12" max="13" width="12.50390625" style="0" customWidth="1"/>
    <col min="14" max="15" width="10.50390625" style="0" customWidth="1"/>
    <col min="16" max="16" width="12.50390625" style="0" customWidth="1"/>
    <col min="17" max="17" width="11.375" style="0" customWidth="1"/>
    <col min="18" max="18" width="11.625" style="0" customWidth="1"/>
    <col min="19" max="19" width="11.50390625" style="0" customWidth="1"/>
    <col min="20" max="20" width="11.375" style="0" customWidth="1"/>
    <col min="21" max="21" width="11.625" style="0" customWidth="1"/>
    <col min="22" max="22" width="13.625" style="0" customWidth="1"/>
    <col min="23" max="23" width="12.625" style="0" customWidth="1"/>
    <col min="24" max="24" width="11.50390625" style="0" customWidth="1"/>
    <col min="25" max="25" width="13.125" style="0" customWidth="1"/>
    <col min="26" max="26" width="13.50390625" style="0" customWidth="1"/>
  </cols>
  <sheetData>
    <row r="1" spans="1:4" ht="15">
      <c r="A1" s="379" t="s">
        <v>205</v>
      </c>
      <c r="B1" s="379"/>
      <c r="C1" s="379"/>
      <c r="D1" s="379"/>
    </row>
    <row r="2" spans="1:5" ht="15">
      <c r="A2" s="389" t="s">
        <v>23</v>
      </c>
      <c r="B2" s="389"/>
      <c r="C2" s="389"/>
      <c r="D2" s="389"/>
      <c r="E2" s="389"/>
    </row>
    <row r="3" spans="1:6" ht="19.5" customHeight="1">
      <c r="A3" s="396" t="s">
        <v>24</v>
      </c>
      <c r="B3" s="396"/>
      <c r="C3" s="396"/>
      <c r="D3" s="396"/>
      <c r="E3" s="396"/>
      <c r="F3" s="396"/>
    </row>
    <row r="4" spans="1:26" ht="19.5" customHeight="1">
      <c r="A4" s="13"/>
      <c r="B4" s="13"/>
      <c r="C4" s="13"/>
      <c r="G4" s="117"/>
      <c r="H4" s="117"/>
      <c r="I4" s="117"/>
      <c r="J4" s="117"/>
      <c r="K4" s="117"/>
      <c r="L4" s="117"/>
      <c r="M4" s="118"/>
      <c r="N4" s="117"/>
      <c r="O4" s="118"/>
      <c r="P4" s="117"/>
      <c r="Q4" s="118"/>
      <c r="R4" s="117"/>
      <c r="S4" s="118"/>
      <c r="T4" s="118"/>
      <c r="U4" s="118"/>
      <c r="V4" s="118"/>
      <c r="W4" s="117"/>
      <c r="X4" s="117"/>
      <c r="Y4" s="118"/>
      <c r="Z4" s="315"/>
    </row>
    <row r="5" spans="1:26" ht="46.5">
      <c r="A5" s="119" t="s">
        <v>206</v>
      </c>
      <c r="B5" s="119" t="s">
        <v>207</v>
      </c>
      <c r="C5" s="120" t="s">
        <v>208</v>
      </c>
      <c r="D5" s="121" t="s">
        <v>209</v>
      </c>
      <c r="E5" s="121" t="s">
        <v>210</v>
      </c>
      <c r="F5" s="121" t="s">
        <v>211</v>
      </c>
      <c r="G5" s="59" t="s">
        <v>212</v>
      </c>
      <c r="H5" s="122" t="s">
        <v>213</v>
      </c>
      <c r="I5" s="122" t="s">
        <v>214</v>
      </c>
      <c r="J5" s="122" t="s">
        <v>215</v>
      </c>
      <c r="K5" s="122" t="s">
        <v>216</v>
      </c>
      <c r="L5" s="123" t="s">
        <v>217</v>
      </c>
      <c r="M5" s="124" t="s">
        <v>218</v>
      </c>
      <c r="N5" s="125" t="s">
        <v>219</v>
      </c>
      <c r="O5" s="126" t="s">
        <v>220</v>
      </c>
      <c r="P5" s="127" t="s">
        <v>221</v>
      </c>
      <c r="Q5" s="124" t="s">
        <v>222</v>
      </c>
      <c r="R5" s="128" t="s">
        <v>223</v>
      </c>
      <c r="S5" s="128" t="s">
        <v>224</v>
      </c>
      <c r="T5" s="129" t="s">
        <v>225</v>
      </c>
      <c r="U5" s="130" t="s">
        <v>226</v>
      </c>
      <c r="V5" s="131" t="s">
        <v>227</v>
      </c>
      <c r="W5" s="132" t="s">
        <v>228</v>
      </c>
      <c r="X5" s="132" t="s">
        <v>229</v>
      </c>
      <c r="Y5" s="131" t="s">
        <v>230</v>
      </c>
      <c r="Z5" s="131" t="s">
        <v>677</v>
      </c>
    </row>
    <row r="6" spans="1:26" ht="15">
      <c r="A6" s="133"/>
      <c r="B6" s="133" t="s">
        <v>231</v>
      </c>
      <c r="C6" s="133"/>
      <c r="D6" s="133"/>
      <c r="E6" s="133"/>
      <c r="F6" s="133"/>
      <c r="G6" s="117"/>
      <c r="H6" s="117"/>
      <c r="I6" s="117"/>
      <c r="J6" s="117"/>
      <c r="K6" s="117"/>
      <c r="L6" s="118"/>
      <c r="M6" s="118"/>
      <c r="N6" s="118"/>
      <c r="O6" s="118"/>
      <c r="P6" s="117"/>
      <c r="Q6" s="118"/>
      <c r="R6" s="117"/>
      <c r="S6" s="117"/>
      <c r="T6" s="117"/>
      <c r="U6" s="134"/>
      <c r="V6" s="118"/>
      <c r="W6" s="117"/>
      <c r="X6" s="117"/>
      <c r="Y6" s="118"/>
      <c r="Z6" s="315"/>
    </row>
    <row r="7" spans="1:26" ht="15">
      <c r="A7" s="135"/>
      <c r="B7" s="136">
        <v>38</v>
      </c>
      <c r="C7" s="135" t="s">
        <v>232</v>
      </c>
      <c r="D7" s="137">
        <v>22</v>
      </c>
      <c r="E7" s="137">
        <v>33</v>
      </c>
      <c r="F7" s="137">
        <v>36</v>
      </c>
      <c r="G7" s="137">
        <v>36</v>
      </c>
      <c r="H7" s="137">
        <v>36</v>
      </c>
      <c r="I7" s="137">
        <v>36</v>
      </c>
      <c r="J7" s="138">
        <v>35</v>
      </c>
      <c r="K7" s="138">
        <v>36</v>
      </c>
      <c r="L7" s="139">
        <v>36</v>
      </c>
      <c r="M7" s="139">
        <v>36</v>
      </c>
      <c r="N7" s="139">
        <v>36</v>
      </c>
      <c r="O7" s="139">
        <v>35</v>
      </c>
      <c r="P7" s="140">
        <v>36</v>
      </c>
      <c r="Q7" s="141">
        <v>36</v>
      </c>
      <c r="R7" s="140">
        <v>36</v>
      </c>
      <c r="S7" s="117">
        <v>36</v>
      </c>
      <c r="T7" s="117">
        <v>36</v>
      </c>
      <c r="U7" s="118">
        <v>38</v>
      </c>
      <c r="V7" s="118">
        <v>38</v>
      </c>
      <c r="W7" s="117">
        <v>38</v>
      </c>
      <c r="X7" s="117">
        <v>40</v>
      </c>
      <c r="Y7" s="118">
        <v>38</v>
      </c>
      <c r="Z7" s="315">
        <v>38</v>
      </c>
    </row>
    <row r="8" spans="1:26" ht="15">
      <c r="A8" s="135"/>
      <c r="B8" s="142" t="s">
        <v>233</v>
      </c>
      <c r="C8" s="135" t="s">
        <v>232</v>
      </c>
      <c r="D8" s="143">
        <v>5</v>
      </c>
      <c r="E8" s="143">
        <v>5</v>
      </c>
      <c r="F8" s="143">
        <v>6</v>
      </c>
      <c r="G8" s="137">
        <v>6</v>
      </c>
      <c r="H8" s="137">
        <v>6</v>
      </c>
      <c r="I8" s="137">
        <v>6</v>
      </c>
      <c r="J8" s="138">
        <v>6</v>
      </c>
      <c r="K8" s="138">
        <v>6</v>
      </c>
      <c r="L8" s="139">
        <v>5</v>
      </c>
      <c r="M8" s="139">
        <v>5</v>
      </c>
      <c r="N8" s="139">
        <v>5</v>
      </c>
      <c r="O8" s="139">
        <v>5</v>
      </c>
      <c r="P8" s="140">
        <v>5</v>
      </c>
      <c r="Q8" s="141">
        <v>5</v>
      </c>
      <c r="R8" s="140">
        <v>5</v>
      </c>
      <c r="S8" s="117">
        <v>5</v>
      </c>
      <c r="T8" s="117">
        <v>5</v>
      </c>
      <c r="U8" s="118">
        <v>5</v>
      </c>
      <c r="V8" s="118">
        <v>5</v>
      </c>
      <c r="W8" s="117">
        <v>5</v>
      </c>
      <c r="X8" s="117">
        <v>5</v>
      </c>
      <c r="Y8" s="118">
        <v>5</v>
      </c>
      <c r="Z8" s="315">
        <v>5</v>
      </c>
    </row>
    <row r="9" spans="1:26" ht="15">
      <c r="A9" s="135"/>
      <c r="B9" s="136" t="s">
        <v>234</v>
      </c>
      <c r="C9" s="135" t="s">
        <v>232</v>
      </c>
      <c r="D9" s="144">
        <v>1</v>
      </c>
      <c r="E9" s="144">
        <v>1</v>
      </c>
      <c r="F9" s="144">
        <v>1</v>
      </c>
      <c r="G9" s="137">
        <v>1</v>
      </c>
      <c r="H9" s="137">
        <v>1</v>
      </c>
      <c r="I9" s="137">
        <v>1</v>
      </c>
      <c r="J9" s="138">
        <v>1</v>
      </c>
      <c r="K9" s="138">
        <v>1</v>
      </c>
      <c r="L9" s="139">
        <v>1</v>
      </c>
      <c r="M9" s="139">
        <v>1</v>
      </c>
      <c r="N9" s="139">
        <v>1</v>
      </c>
      <c r="O9" s="139">
        <v>1</v>
      </c>
      <c r="P9" s="140">
        <v>1</v>
      </c>
      <c r="Q9" s="141">
        <v>1</v>
      </c>
      <c r="R9" s="140">
        <v>1</v>
      </c>
      <c r="S9" s="117">
        <v>1</v>
      </c>
      <c r="T9" s="117">
        <v>1</v>
      </c>
      <c r="U9" s="118">
        <v>1</v>
      </c>
      <c r="V9" s="118">
        <v>1</v>
      </c>
      <c r="W9" s="117">
        <v>1</v>
      </c>
      <c r="X9" s="117">
        <v>1</v>
      </c>
      <c r="Y9" s="118">
        <v>1</v>
      </c>
      <c r="Z9" s="315">
        <v>1</v>
      </c>
    </row>
    <row r="10" spans="1:26" ht="15">
      <c r="A10" s="135"/>
      <c r="B10" s="136" t="s">
        <v>235</v>
      </c>
      <c r="C10" s="135" t="s">
        <v>232</v>
      </c>
      <c r="D10" s="144">
        <v>1</v>
      </c>
      <c r="E10" s="144">
        <v>1</v>
      </c>
      <c r="F10" s="144">
        <v>2</v>
      </c>
      <c r="G10" s="137">
        <v>2</v>
      </c>
      <c r="H10" s="137">
        <v>2</v>
      </c>
      <c r="I10" s="137">
        <v>2</v>
      </c>
      <c r="J10" s="138">
        <v>2</v>
      </c>
      <c r="K10" s="138">
        <v>2</v>
      </c>
      <c r="L10" s="139">
        <v>1</v>
      </c>
      <c r="M10" s="139">
        <v>1</v>
      </c>
      <c r="N10" s="139">
        <v>1</v>
      </c>
      <c r="O10" s="139">
        <v>1</v>
      </c>
      <c r="P10" s="140">
        <v>1</v>
      </c>
      <c r="Q10" s="141">
        <v>1</v>
      </c>
      <c r="R10" s="140">
        <v>1</v>
      </c>
      <c r="S10" s="117">
        <v>1</v>
      </c>
      <c r="T10" s="117">
        <v>1</v>
      </c>
      <c r="U10" s="118">
        <v>1</v>
      </c>
      <c r="V10" s="118">
        <v>1</v>
      </c>
      <c r="W10" s="117">
        <v>1</v>
      </c>
      <c r="X10" s="117">
        <v>1</v>
      </c>
      <c r="Y10" s="118">
        <v>1</v>
      </c>
      <c r="Z10" s="315">
        <v>1</v>
      </c>
    </row>
    <row r="11" spans="1:26" ht="15">
      <c r="A11" s="135"/>
      <c r="B11" s="136" t="s">
        <v>236</v>
      </c>
      <c r="C11" s="135" t="s">
        <v>232</v>
      </c>
      <c r="D11" s="144">
        <v>1</v>
      </c>
      <c r="E11" s="144">
        <v>1</v>
      </c>
      <c r="F11" s="144">
        <v>1</v>
      </c>
      <c r="G11" s="137">
        <v>1</v>
      </c>
      <c r="H11" s="137">
        <v>1</v>
      </c>
      <c r="I11" s="137">
        <v>1</v>
      </c>
      <c r="J11" s="138">
        <v>1</v>
      </c>
      <c r="K11" s="138">
        <v>1</v>
      </c>
      <c r="L11" s="139">
        <v>1</v>
      </c>
      <c r="M11" s="139">
        <v>1</v>
      </c>
      <c r="N11" s="139">
        <v>1</v>
      </c>
      <c r="O11" s="139">
        <v>1</v>
      </c>
      <c r="P11" s="140">
        <v>1</v>
      </c>
      <c r="Q11" s="141">
        <v>1</v>
      </c>
      <c r="R11" s="140">
        <v>1</v>
      </c>
      <c r="S11" s="117">
        <v>1</v>
      </c>
      <c r="T11" s="117">
        <v>1</v>
      </c>
      <c r="U11" s="118">
        <v>1</v>
      </c>
      <c r="V11" s="118">
        <v>1</v>
      </c>
      <c r="W11" s="117">
        <v>1</v>
      </c>
      <c r="X11" s="117">
        <v>1</v>
      </c>
      <c r="Y11" s="118">
        <v>1</v>
      </c>
      <c r="Z11" s="315">
        <v>1</v>
      </c>
    </row>
    <row r="12" spans="1:26" ht="15">
      <c r="A12" s="135"/>
      <c r="B12" s="136" t="s">
        <v>237</v>
      </c>
      <c r="C12" s="135" t="s">
        <v>232</v>
      </c>
      <c r="D12" s="144">
        <v>2</v>
      </c>
      <c r="E12" s="144">
        <v>2</v>
      </c>
      <c r="F12" s="144">
        <v>2</v>
      </c>
      <c r="G12" s="137">
        <v>2</v>
      </c>
      <c r="H12" s="137">
        <v>2</v>
      </c>
      <c r="I12" s="137">
        <v>2</v>
      </c>
      <c r="J12" s="138">
        <v>2</v>
      </c>
      <c r="K12" s="138">
        <v>2</v>
      </c>
      <c r="L12" s="139">
        <v>2</v>
      </c>
      <c r="M12" s="139">
        <v>2</v>
      </c>
      <c r="N12" s="139">
        <v>2</v>
      </c>
      <c r="O12" s="139">
        <v>2</v>
      </c>
      <c r="P12" s="140">
        <v>2</v>
      </c>
      <c r="Q12" s="141">
        <v>2</v>
      </c>
      <c r="R12" s="140">
        <v>2</v>
      </c>
      <c r="S12" s="117">
        <v>2</v>
      </c>
      <c r="T12" s="117">
        <v>2</v>
      </c>
      <c r="U12" s="118">
        <v>2</v>
      </c>
      <c r="V12" s="118">
        <v>2</v>
      </c>
      <c r="W12" s="117">
        <v>2</v>
      </c>
      <c r="X12" s="117">
        <v>2</v>
      </c>
      <c r="Y12" s="118">
        <v>2</v>
      </c>
      <c r="Z12" s="315">
        <v>2</v>
      </c>
    </row>
    <row r="13" spans="1:26" ht="15">
      <c r="A13" s="135"/>
      <c r="B13" s="57" t="s">
        <v>238</v>
      </c>
      <c r="C13" s="135" t="s">
        <v>232</v>
      </c>
      <c r="D13" s="144">
        <v>12</v>
      </c>
      <c r="E13" s="144">
        <v>21</v>
      </c>
      <c r="F13" s="144">
        <v>21</v>
      </c>
      <c r="G13" s="137">
        <v>21</v>
      </c>
      <c r="H13" s="137">
        <v>22</v>
      </c>
      <c r="I13" s="137">
        <v>22</v>
      </c>
      <c r="J13" s="138">
        <v>21</v>
      </c>
      <c r="K13" s="138">
        <v>22</v>
      </c>
      <c r="L13" s="139">
        <v>22</v>
      </c>
      <c r="M13" s="139">
        <v>22</v>
      </c>
      <c r="N13" s="139">
        <v>22</v>
      </c>
      <c r="O13" s="139">
        <v>22</v>
      </c>
      <c r="P13" s="140">
        <v>22</v>
      </c>
      <c r="Q13" s="141">
        <v>22</v>
      </c>
      <c r="R13" s="140">
        <v>22</v>
      </c>
      <c r="S13" s="117">
        <v>22</v>
      </c>
      <c r="T13" s="117">
        <v>22</v>
      </c>
      <c r="U13" s="118">
        <v>24</v>
      </c>
      <c r="V13" s="118">
        <v>24</v>
      </c>
      <c r="W13" s="117">
        <v>24</v>
      </c>
      <c r="X13" s="117">
        <v>27</v>
      </c>
      <c r="Y13" s="118">
        <v>25</v>
      </c>
      <c r="Z13" s="315">
        <v>25</v>
      </c>
    </row>
    <row r="14" spans="1:26" ht="15">
      <c r="A14" s="135"/>
      <c r="B14" s="142" t="s">
        <v>239</v>
      </c>
      <c r="C14" s="135" t="s">
        <v>232</v>
      </c>
      <c r="D14" s="144">
        <v>1</v>
      </c>
      <c r="E14" s="144">
        <v>2</v>
      </c>
      <c r="F14" s="144">
        <v>4</v>
      </c>
      <c r="G14" s="137">
        <v>4</v>
      </c>
      <c r="H14" s="137">
        <v>3</v>
      </c>
      <c r="I14" s="137">
        <v>3</v>
      </c>
      <c r="J14" s="138">
        <v>3</v>
      </c>
      <c r="K14" s="138">
        <v>3</v>
      </c>
      <c r="L14" s="139">
        <v>3</v>
      </c>
      <c r="M14" s="139">
        <v>3</v>
      </c>
      <c r="N14" s="139">
        <v>3</v>
      </c>
      <c r="O14" s="139">
        <v>3</v>
      </c>
      <c r="P14" s="140">
        <v>3</v>
      </c>
      <c r="Q14" s="141">
        <v>3</v>
      </c>
      <c r="R14" s="140">
        <v>3</v>
      </c>
      <c r="S14" s="117">
        <v>3</v>
      </c>
      <c r="T14" s="117">
        <v>3</v>
      </c>
      <c r="U14" s="118">
        <v>3</v>
      </c>
      <c r="V14" s="118">
        <v>3</v>
      </c>
      <c r="W14" s="117">
        <v>3</v>
      </c>
      <c r="X14" s="117">
        <v>2</v>
      </c>
      <c r="Y14" s="118">
        <v>2</v>
      </c>
      <c r="Z14" s="315">
        <v>2</v>
      </c>
    </row>
    <row r="15" spans="1:26" ht="15">
      <c r="A15" s="135"/>
      <c r="B15" s="145" t="s">
        <v>240</v>
      </c>
      <c r="C15" s="146" t="s">
        <v>232</v>
      </c>
      <c r="D15" s="143" t="s">
        <v>63</v>
      </c>
      <c r="E15" s="143" t="s">
        <v>63</v>
      </c>
      <c r="F15" s="143" t="s">
        <v>63</v>
      </c>
      <c r="G15" s="143" t="s">
        <v>63</v>
      </c>
      <c r="H15" s="143" t="s">
        <v>63</v>
      </c>
      <c r="I15" s="143" t="s">
        <v>63</v>
      </c>
      <c r="J15" s="147" t="s">
        <v>63</v>
      </c>
      <c r="K15" s="147" t="s">
        <v>63</v>
      </c>
      <c r="L15" s="139">
        <v>1</v>
      </c>
      <c r="M15" s="139">
        <v>1</v>
      </c>
      <c r="N15" s="139">
        <v>1</v>
      </c>
      <c r="O15" s="139"/>
      <c r="P15" s="140">
        <v>1</v>
      </c>
      <c r="Q15" s="141">
        <v>1</v>
      </c>
      <c r="R15" s="140">
        <v>1</v>
      </c>
      <c r="S15" s="117">
        <v>1</v>
      </c>
      <c r="T15" s="117">
        <v>1</v>
      </c>
      <c r="U15" s="118">
        <v>1</v>
      </c>
      <c r="V15" s="118">
        <v>1</v>
      </c>
      <c r="W15" s="117">
        <v>1</v>
      </c>
      <c r="X15" s="117">
        <v>1</v>
      </c>
      <c r="Y15" s="118">
        <v>1</v>
      </c>
      <c r="Z15" s="315">
        <v>1</v>
      </c>
    </row>
    <row r="16" spans="1:26" ht="15">
      <c r="A16" s="135"/>
      <c r="B16" s="145" t="s">
        <v>241</v>
      </c>
      <c r="C16" s="146" t="s">
        <v>232</v>
      </c>
      <c r="D16" s="144">
        <v>4</v>
      </c>
      <c r="E16" s="144">
        <v>5</v>
      </c>
      <c r="F16" s="144">
        <v>5</v>
      </c>
      <c r="G16" s="137">
        <v>5</v>
      </c>
      <c r="H16" s="137">
        <v>5</v>
      </c>
      <c r="I16" s="137">
        <v>5</v>
      </c>
      <c r="J16" s="138">
        <v>5</v>
      </c>
      <c r="K16" s="138">
        <v>5</v>
      </c>
      <c r="L16" s="139">
        <v>5</v>
      </c>
      <c r="M16" s="139">
        <v>5</v>
      </c>
      <c r="N16" s="139">
        <v>5</v>
      </c>
      <c r="O16" s="139">
        <v>5</v>
      </c>
      <c r="P16" s="140">
        <v>5</v>
      </c>
      <c r="Q16" s="141">
        <v>5</v>
      </c>
      <c r="R16" s="140">
        <v>5</v>
      </c>
      <c r="S16" s="117">
        <v>5</v>
      </c>
      <c r="T16" s="117">
        <v>5</v>
      </c>
      <c r="U16" s="118">
        <v>5</v>
      </c>
      <c r="V16" s="118">
        <v>5</v>
      </c>
      <c r="W16" s="117">
        <v>5</v>
      </c>
      <c r="X16" s="117">
        <v>5</v>
      </c>
      <c r="Y16" s="118">
        <v>5</v>
      </c>
      <c r="Z16" s="315">
        <v>5</v>
      </c>
    </row>
    <row r="17" spans="1:26" ht="15">
      <c r="A17" s="133"/>
      <c r="B17" s="133" t="s">
        <v>242</v>
      </c>
      <c r="C17" s="133"/>
      <c r="D17" s="148"/>
      <c r="E17" s="148"/>
      <c r="F17" s="148"/>
      <c r="G17" s="137"/>
      <c r="H17" s="137"/>
      <c r="I17" s="149"/>
      <c r="J17" s="138"/>
      <c r="K17" s="138"/>
      <c r="L17" s="139"/>
      <c r="M17" s="139"/>
      <c r="N17" s="139"/>
      <c r="O17" s="139"/>
      <c r="P17" s="140"/>
      <c r="Q17" s="141"/>
      <c r="R17" s="140"/>
      <c r="S17" s="117"/>
      <c r="T17" s="117"/>
      <c r="U17" s="118"/>
      <c r="V17" s="118"/>
      <c r="W17" s="117"/>
      <c r="X17" s="117"/>
      <c r="Y17" s="118"/>
      <c r="Z17" s="315"/>
    </row>
    <row r="18" spans="1:26" ht="15">
      <c r="A18" s="135"/>
      <c r="B18" s="136" t="s">
        <v>243</v>
      </c>
      <c r="C18" s="135" t="s">
        <v>244</v>
      </c>
      <c r="D18" s="137">
        <v>24</v>
      </c>
      <c r="E18" s="137">
        <v>33</v>
      </c>
      <c r="F18" s="137">
        <v>35</v>
      </c>
      <c r="G18" s="137">
        <v>35</v>
      </c>
      <c r="H18" s="137">
        <v>35</v>
      </c>
      <c r="I18" s="137">
        <v>35</v>
      </c>
      <c r="J18" s="138">
        <v>35</v>
      </c>
      <c r="K18" s="138">
        <v>35</v>
      </c>
      <c r="L18" s="139">
        <v>35</v>
      </c>
      <c r="M18" s="139">
        <v>35</v>
      </c>
      <c r="N18" s="139">
        <v>35</v>
      </c>
      <c r="O18" s="139">
        <v>35</v>
      </c>
      <c r="P18" s="140">
        <v>35</v>
      </c>
      <c r="Q18" s="141">
        <v>35</v>
      </c>
      <c r="R18" s="140">
        <v>35</v>
      </c>
      <c r="S18" s="117">
        <v>35</v>
      </c>
      <c r="T18" s="117">
        <v>35</v>
      </c>
      <c r="U18" s="118">
        <v>36</v>
      </c>
      <c r="V18" s="118">
        <v>36</v>
      </c>
      <c r="W18" s="117">
        <v>36</v>
      </c>
      <c r="X18" s="117">
        <v>36</v>
      </c>
      <c r="Y18" s="118">
        <v>36</v>
      </c>
      <c r="Z18" s="315">
        <v>36</v>
      </c>
    </row>
    <row r="19" spans="1:26" ht="15">
      <c r="A19" s="135"/>
      <c r="B19" s="142" t="s">
        <v>233</v>
      </c>
      <c r="C19" s="135" t="s">
        <v>244</v>
      </c>
      <c r="D19" s="137">
        <v>5</v>
      </c>
      <c r="E19" s="137">
        <v>6</v>
      </c>
      <c r="F19" s="137">
        <v>6</v>
      </c>
      <c r="G19" s="137">
        <v>6</v>
      </c>
      <c r="H19" s="137">
        <v>6</v>
      </c>
      <c r="I19" s="137">
        <v>6</v>
      </c>
      <c r="J19" s="138">
        <v>6</v>
      </c>
      <c r="K19" s="138">
        <v>6</v>
      </c>
      <c r="L19" s="139">
        <v>5</v>
      </c>
      <c r="M19" s="139">
        <v>5</v>
      </c>
      <c r="N19" s="139">
        <v>5</v>
      </c>
      <c r="O19" s="139">
        <v>5</v>
      </c>
      <c r="P19" s="140">
        <v>5</v>
      </c>
      <c r="Q19" s="141">
        <v>5</v>
      </c>
      <c r="R19" s="140">
        <v>5</v>
      </c>
      <c r="S19" s="117">
        <v>5</v>
      </c>
      <c r="T19" s="117">
        <v>5</v>
      </c>
      <c r="U19" s="118">
        <v>5</v>
      </c>
      <c r="V19" s="118">
        <v>5</v>
      </c>
      <c r="W19" s="117">
        <v>5</v>
      </c>
      <c r="X19" s="117">
        <v>5</v>
      </c>
      <c r="Y19" s="118">
        <v>5</v>
      </c>
      <c r="Z19" s="315">
        <v>5</v>
      </c>
    </row>
    <row r="20" spans="1:26" ht="15">
      <c r="A20" s="135"/>
      <c r="B20" s="136" t="s">
        <v>234</v>
      </c>
      <c r="C20" s="135" t="s">
        <v>244</v>
      </c>
      <c r="D20" s="144">
        <v>1</v>
      </c>
      <c r="E20" s="144">
        <v>1</v>
      </c>
      <c r="F20" s="144">
        <v>1</v>
      </c>
      <c r="G20" s="137">
        <v>1</v>
      </c>
      <c r="H20" s="137">
        <v>1</v>
      </c>
      <c r="I20" s="137">
        <v>1</v>
      </c>
      <c r="J20" s="138">
        <v>1</v>
      </c>
      <c r="K20" s="138">
        <v>1</v>
      </c>
      <c r="L20" s="139">
        <v>1</v>
      </c>
      <c r="M20" s="139">
        <v>1</v>
      </c>
      <c r="N20" s="139">
        <v>1</v>
      </c>
      <c r="O20" s="139">
        <v>1</v>
      </c>
      <c r="P20" s="140">
        <v>1</v>
      </c>
      <c r="Q20" s="141">
        <v>1</v>
      </c>
      <c r="R20" s="140">
        <v>1</v>
      </c>
      <c r="S20" s="117">
        <v>1</v>
      </c>
      <c r="T20" s="117">
        <v>1</v>
      </c>
      <c r="U20" s="118">
        <v>1</v>
      </c>
      <c r="V20" s="118">
        <v>1</v>
      </c>
      <c r="W20" s="117">
        <v>1</v>
      </c>
      <c r="X20" s="117">
        <v>1</v>
      </c>
      <c r="Y20" s="118">
        <v>1</v>
      </c>
      <c r="Z20" s="315">
        <v>1</v>
      </c>
    </row>
    <row r="21" spans="1:26" ht="15">
      <c r="A21" s="135"/>
      <c r="B21" s="136" t="s">
        <v>235</v>
      </c>
      <c r="C21" s="135" t="s">
        <v>244</v>
      </c>
      <c r="D21" s="144">
        <v>1</v>
      </c>
      <c r="E21" s="144">
        <v>2</v>
      </c>
      <c r="F21" s="144">
        <v>2</v>
      </c>
      <c r="G21" s="137">
        <v>2</v>
      </c>
      <c r="H21" s="137">
        <v>2</v>
      </c>
      <c r="I21" s="137">
        <v>2</v>
      </c>
      <c r="J21" s="138">
        <v>2</v>
      </c>
      <c r="K21" s="138">
        <v>2</v>
      </c>
      <c r="L21" s="139">
        <v>1</v>
      </c>
      <c r="M21" s="139">
        <v>1</v>
      </c>
      <c r="N21" s="139">
        <v>1</v>
      </c>
      <c r="O21" s="139">
        <v>1</v>
      </c>
      <c r="P21" s="140">
        <v>1</v>
      </c>
      <c r="Q21" s="141">
        <v>1</v>
      </c>
      <c r="R21" s="140">
        <v>1</v>
      </c>
      <c r="S21" s="117">
        <v>1</v>
      </c>
      <c r="T21" s="117">
        <v>1</v>
      </c>
      <c r="U21" s="118">
        <v>1</v>
      </c>
      <c r="V21" s="118">
        <v>1</v>
      </c>
      <c r="W21" s="117">
        <v>1</v>
      </c>
      <c r="X21" s="117">
        <v>1</v>
      </c>
      <c r="Y21" s="118">
        <v>1</v>
      </c>
      <c r="Z21" s="315">
        <v>1</v>
      </c>
    </row>
    <row r="22" spans="1:26" ht="15">
      <c r="A22" s="135"/>
      <c r="B22" s="136" t="s">
        <v>236</v>
      </c>
      <c r="C22" s="135" t="s">
        <v>244</v>
      </c>
      <c r="D22" s="144">
        <v>1</v>
      </c>
      <c r="E22" s="144">
        <v>1</v>
      </c>
      <c r="F22" s="144">
        <v>1</v>
      </c>
      <c r="G22" s="137">
        <v>1</v>
      </c>
      <c r="H22" s="137">
        <v>1</v>
      </c>
      <c r="I22" s="137">
        <v>1</v>
      </c>
      <c r="J22" s="138">
        <v>1</v>
      </c>
      <c r="K22" s="138">
        <v>1</v>
      </c>
      <c r="L22" s="139">
        <v>1</v>
      </c>
      <c r="M22" s="139">
        <v>1</v>
      </c>
      <c r="N22" s="139">
        <v>1</v>
      </c>
      <c r="O22" s="139">
        <v>1</v>
      </c>
      <c r="P22" s="140">
        <v>1</v>
      </c>
      <c r="Q22" s="141">
        <v>1</v>
      </c>
      <c r="R22" s="140">
        <v>1</v>
      </c>
      <c r="S22" s="117">
        <v>1</v>
      </c>
      <c r="T22" s="117">
        <v>1</v>
      </c>
      <c r="U22" s="118">
        <v>1</v>
      </c>
      <c r="V22" s="118">
        <v>1</v>
      </c>
      <c r="W22" s="117">
        <v>1</v>
      </c>
      <c r="X22" s="117">
        <v>1</v>
      </c>
      <c r="Y22" s="118">
        <v>1</v>
      </c>
      <c r="Z22" s="315">
        <v>1</v>
      </c>
    </row>
    <row r="23" spans="1:26" ht="15">
      <c r="A23" s="135"/>
      <c r="B23" s="136" t="s">
        <v>245</v>
      </c>
      <c r="C23" s="135" t="s">
        <v>244</v>
      </c>
      <c r="D23" s="144">
        <v>2</v>
      </c>
      <c r="E23" s="144">
        <v>2</v>
      </c>
      <c r="F23" s="144">
        <v>2</v>
      </c>
      <c r="G23" s="137">
        <v>2</v>
      </c>
      <c r="H23" s="137">
        <v>2</v>
      </c>
      <c r="I23" s="137">
        <v>2</v>
      </c>
      <c r="J23" s="138">
        <v>2</v>
      </c>
      <c r="K23" s="138">
        <v>2</v>
      </c>
      <c r="L23" s="139">
        <v>2</v>
      </c>
      <c r="M23" s="139">
        <v>2</v>
      </c>
      <c r="N23" s="139">
        <v>2</v>
      </c>
      <c r="O23" s="139">
        <v>2</v>
      </c>
      <c r="P23" s="140">
        <v>2</v>
      </c>
      <c r="Q23" s="141">
        <v>2</v>
      </c>
      <c r="R23" s="140">
        <v>2</v>
      </c>
      <c r="S23" s="117">
        <v>2</v>
      </c>
      <c r="T23" s="117">
        <v>2</v>
      </c>
      <c r="U23" s="118">
        <v>2</v>
      </c>
      <c r="V23" s="118">
        <v>2</v>
      </c>
      <c r="W23" s="117">
        <v>2</v>
      </c>
      <c r="X23" s="117">
        <v>2</v>
      </c>
      <c r="Y23" s="118">
        <v>2</v>
      </c>
      <c r="Z23" s="315">
        <v>2</v>
      </c>
    </row>
    <row r="24" spans="1:26" ht="15">
      <c r="A24" s="135"/>
      <c r="B24" s="57" t="s">
        <v>238</v>
      </c>
      <c r="C24" s="146" t="s">
        <v>244</v>
      </c>
      <c r="D24" s="143">
        <v>12</v>
      </c>
      <c r="E24" s="143">
        <v>20</v>
      </c>
      <c r="F24" s="143">
        <v>20</v>
      </c>
      <c r="G24" s="137">
        <v>20</v>
      </c>
      <c r="H24" s="137">
        <v>21</v>
      </c>
      <c r="I24" s="137">
        <v>21</v>
      </c>
      <c r="J24" s="138">
        <v>21</v>
      </c>
      <c r="K24" s="138">
        <v>21</v>
      </c>
      <c r="L24" s="139">
        <v>21</v>
      </c>
      <c r="M24" s="139">
        <v>21</v>
      </c>
      <c r="N24" s="139">
        <v>21</v>
      </c>
      <c r="O24" s="139">
        <v>21</v>
      </c>
      <c r="P24" s="140">
        <v>21</v>
      </c>
      <c r="Q24" s="141">
        <v>21</v>
      </c>
      <c r="R24" s="140">
        <v>21</v>
      </c>
      <c r="S24" s="117">
        <v>21</v>
      </c>
      <c r="T24" s="117">
        <v>21</v>
      </c>
      <c r="U24" s="118">
        <v>22</v>
      </c>
      <c r="V24" s="118">
        <v>22</v>
      </c>
      <c r="W24" s="117">
        <v>22</v>
      </c>
      <c r="X24" s="117">
        <v>23.5</v>
      </c>
      <c r="Y24" s="118">
        <v>23.5</v>
      </c>
      <c r="Z24" s="315">
        <v>23.5</v>
      </c>
    </row>
    <row r="25" spans="1:26" ht="15">
      <c r="A25" s="135"/>
      <c r="B25" s="142" t="s">
        <v>239</v>
      </c>
      <c r="C25" s="146" t="s">
        <v>244</v>
      </c>
      <c r="D25" s="144">
        <v>1</v>
      </c>
      <c r="E25" s="144">
        <v>2</v>
      </c>
      <c r="F25" s="144">
        <v>4</v>
      </c>
      <c r="G25" s="137">
        <v>4</v>
      </c>
      <c r="H25" s="137">
        <v>3</v>
      </c>
      <c r="I25" s="137">
        <v>3</v>
      </c>
      <c r="J25" s="138">
        <v>3</v>
      </c>
      <c r="K25" s="138">
        <v>3</v>
      </c>
      <c r="L25" s="139">
        <v>3</v>
      </c>
      <c r="M25" s="139">
        <v>3</v>
      </c>
      <c r="N25" s="139">
        <v>3</v>
      </c>
      <c r="O25" s="139">
        <v>3</v>
      </c>
      <c r="P25" s="140">
        <v>3</v>
      </c>
      <c r="Q25" s="141">
        <v>3</v>
      </c>
      <c r="R25" s="140">
        <v>3</v>
      </c>
      <c r="S25" s="117">
        <v>3</v>
      </c>
      <c r="T25" s="117">
        <v>3</v>
      </c>
      <c r="U25" s="118">
        <v>3</v>
      </c>
      <c r="V25" s="118">
        <v>3</v>
      </c>
      <c r="W25" s="117">
        <v>3</v>
      </c>
      <c r="X25" s="117">
        <v>2</v>
      </c>
      <c r="Y25" s="118">
        <v>2</v>
      </c>
      <c r="Z25" s="315">
        <v>2</v>
      </c>
    </row>
    <row r="26" spans="1:26" ht="15">
      <c r="A26" s="135"/>
      <c r="B26" s="145" t="s">
        <v>240</v>
      </c>
      <c r="C26" s="146" t="s">
        <v>244</v>
      </c>
      <c r="D26" s="144" t="s">
        <v>63</v>
      </c>
      <c r="E26" s="144" t="s">
        <v>63</v>
      </c>
      <c r="F26" s="144" t="s">
        <v>63</v>
      </c>
      <c r="G26" s="144" t="s">
        <v>63</v>
      </c>
      <c r="H26" s="144" t="s">
        <v>63</v>
      </c>
      <c r="I26" s="144" t="s">
        <v>63</v>
      </c>
      <c r="J26" s="150" t="s">
        <v>63</v>
      </c>
      <c r="K26" s="150" t="s">
        <v>63</v>
      </c>
      <c r="L26" s="139">
        <v>1</v>
      </c>
      <c r="M26" s="139">
        <v>1</v>
      </c>
      <c r="N26" s="139">
        <v>1</v>
      </c>
      <c r="O26" s="139">
        <v>1</v>
      </c>
      <c r="P26" s="140">
        <v>1</v>
      </c>
      <c r="Q26" s="141">
        <v>1</v>
      </c>
      <c r="R26" s="140">
        <v>1</v>
      </c>
      <c r="S26" s="117">
        <v>1</v>
      </c>
      <c r="T26" s="117">
        <v>1</v>
      </c>
      <c r="U26" s="118">
        <v>1</v>
      </c>
      <c r="V26" s="118">
        <v>1</v>
      </c>
      <c r="W26" s="117">
        <v>1</v>
      </c>
      <c r="X26" s="117">
        <v>1</v>
      </c>
      <c r="Y26" s="118">
        <v>1</v>
      </c>
      <c r="Z26" s="315">
        <v>1</v>
      </c>
    </row>
    <row r="27" spans="1:26" ht="15">
      <c r="A27" s="135"/>
      <c r="B27" s="145" t="s">
        <v>241</v>
      </c>
      <c r="C27" s="146" t="s">
        <v>244</v>
      </c>
      <c r="D27" s="144">
        <v>6</v>
      </c>
      <c r="E27" s="144">
        <v>5</v>
      </c>
      <c r="F27" s="144">
        <v>5</v>
      </c>
      <c r="G27" s="137">
        <v>5</v>
      </c>
      <c r="H27" s="137">
        <v>5</v>
      </c>
      <c r="I27" s="137">
        <v>5</v>
      </c>
      <c r="J27" s="138">
        <v>5</v>
      </c>
      <c r="K27" s="138">
        <v>5</v>
      </c>
      <c r="L27" s="139">
        <v>5</v>
      </c>
      <c r="M27" s="139">
        <v>5</v>
      </c>
      <c r="N27" s="139">
        <v>5</v>
      </c>
      <c r="O27" s="139">
        <v>5</v>
      </c>
      <c r="P27" s="140">
        <v>5</v>
      </c>
      <c r="Q27" s="141">
        <v>5</v>
      </c>
      <c r="R27" s="140">
        <v>5</v>
      </c>
      <c r="S27" s="117">
        <v>5</v>
      </c>
      <c r="T27" s="117">
        <v>5</v>
      </c>
      <c r="U27" s="118">
        <v>5</v>
      </c>
      <c r="V27" s="118">
        <v>5</v>
      </c>
      <c r="W27" s="117">
        <v>5</v>
      </c>
      <c r="X27" s="117">
        <v>4.5</v>
      </c>
      <c r="Y27" s="118">
        <v>4.5</v>
      </c>
      <c r="Z27" s="315">
        <v>4.5</v>
      </c>
    </row>
    <row r="28" spans="1:26" s="156" customFormat="1" ht="32.25" customHeight="1">
      <c r="A28" s="133"/>
      <c r="B28" s="63" t="s">
        <v>246</v>
      </c>
      <c r="C28" s="146" t="s">
        <v>232</v>
      </c>
      <c r="D28" s="148"/>
      <c r="E28" s="148"/>
      <c r="F28" s="148"/>
      <c r="G28" s="143"/>
      <c r="H28" s="143"/>
      <c r="I28" s="143"/>
      <c r="J28" s="147"/>
      <c r="K28" s="147"/>
      <c r="L28" s="151"/>
      <c r="M28" s="151"/>
      <c r="N28" s="151"/>
      <c r="O28" s="151"/>
      <c r="P28" s="152"/>
      <c r="Q28" s="153"/>
      <c r="R28" s="152"/>
      <c r="S28" s="154"/>
      <c r="T28" s="154"/>
      <c r="U28" s="155"/>
      <c r="V28" s="155"/>
      <c r="W28" s="154"/>
      <c r="X28" s="154"/>
      <c r="Y28" s="155"/>
      <c r="Z28" s="316"/>
    </row>
    <row r="29" spans="1:26" ht="15">
      <c r="A29" s="135"/>
      <c r="B29" s="136" t="s">
        <v>243</v>
      </c>
      <c r="C29" s="135" t="s">
        <v>232</v>
      </c>
      <c r="D29" s="148" t="s">
        <v>63</v>
      </c>
      <c r="E29" s="148">
        <v>1</v>
      </c>
      <c r="F29" s="148">
        <v>5</v>
      </c>
      <c r="G29" s="137">
        <v>7</v>
      </c>
      <c r="H29" s="137">
        <v>6</v>
      </c>
      <c r="I29" s="137">
        <v>6</v>
      </c>
      <c r="J29" s="138">
        <v>7</v>
      </c>
      <c r="K29" s="138">
        <v>5</v>
      </c>
      <c r="L29" s="139">
        <v>6</v>
      </c>
      <c r="M29" s="139">
        <v>6</v>
      </c>
      <c r="N29" s="139">
        <v>5</v>
      </c>
      <c r="O29" s="139">
        <v>5</v>
      </c>
      <c r="P29" s="140">
        <v>6</v>
      </c>
      <c r="Q29" s="141">
        <v>6</v>
      </c>
      <c r="R29" s="140">
        <v>6</v>
      </c>
      <c r="S29" s="117">
        <v>6</v>
      </c>
      <c r="T29" s="117">
        <v>6</v>
      </c>
      <c r="U29" s="118">
        <v>6</v>
      </c>
      <c r="V29" s="118">
        <v>7</v>
      </c>
      <c r="W29" s="117">
        <v>7</v>
      </c>
      <c r="X29" s="117">
        <v>8</v>
      </c>
      <c r="Y29" s="118">
        <v>8</v>
      </c>
      <c r="Z29" s="315">
        <v>8</v>
      </c>
    </row>
    <row r="30" spans="1:26" ht="15">
      <c r="A30" s="135"/>
      <c r="B30" s="142" t="s">
        <v>233</v>
      </c>
      <c r="C30" s="135" t="s">
        <v>232</v>
      </c>
      <c r="D30" s="148" t="s">
        <v>63</v>
      </c>
      <c r="E30" s="148" t="s">
        <v>63</v>
      </c>
      <c r="F30" s="148">
        <v>2</v>
      </c>
      <c r="G30" s="137">
        <v>2</v>
      </c>
      <c r="H30" s="137">
        <v>1</v>
      </c>
      <c r="I30" s="137">
        <v>1</v>
      </c>
      <c r="J30" s="138">
        <v>1</v>
      </c>
      <c r="K30" s="138">
        <v>1</v>
      </c>
      <c r="L30" s="139">
        <v>1</v>
      </c>
      <c r="M30" s="139"/>
      <c r="N30" s="139"/>
      <c r="O30" s="139"/>
      <c r="P30" s="140"/>
      <c r="Q30" s="141"/>
      <c r="R30" s="140"/>
      <c r="S30" s="117"/>
      <c r="T30" s="117"/>
      <c r="U30" s="118"/>
      <c r="V30" s="118"/>
      <c r="W30" s="117"/>
      <c r="X30" s="117"/>
      <c r="Y30" s="118"/>
      <c r="Z30" s="315"/>
    </row>
    <row r="31" spans="1:26" ht="15">
      <c r="A31" s="135"/>
      <c r="B31" s="136" t="s">
        <v>234</v>
      </c>
      <c r="C31" s="135" t="s">
        <v>232</v>
      </c>
      <c r="D31" s="148" t="s">
        <v>63</v>
      </c>
      <c r="E31" s="148" t="s">
        <v>63</v>
      </c>
      <c r="F31" s="148">
        <v>1</v>
      </c>
      <c r="G31" s="137">
        <v>1</v>
      </c>
      <c r="H31" s="137">
        <v>1</v>
      </c>
      <c r="I31" s="137">
        <v>1</v>
      </c>
      <c r="J31" s="138">
        <v>1</v>
      </c>
      <c r="K31" s="138">
        <v>1</v>
      </c>
      <c r="L31" s="139">
        <v>1</v>
      </c>
      <c r="M31" s="139">
        <v>1</v>
      </c>
      <c r="N31" s="139">
        <v>1</v>
      </c>
      <c r="O31" s="139">
        <v>1</v>
      </c>
      <c r="P31" s="140">
        <v>1</v>
      </c>
      <c r="Q31" s="141">
        <v>1</v>
      </c>
      <c r="R31" s="140">
        <v>1</v>
      </c>
      <c r="S31" s="117">
        <v>1</v>
      </c>
      <c r="T31" s="117">
        <v>1</v>
      </c>
      <c r="U31" s="118">
        <v>1</v>
      </c>
      <c r="V31" s="118">
        <v>1</v>
      </c>
      <c r="W31" s="117">
        <v>1</v>
      </c>
      <c r="X31" s="117">
        <v>1</v>
      </c>
      <c r="Y31" s="118">
        <v>1</v>
      </c>
      <c r="Z31" s="315">
        <v>1</v>
      </c>
    </row>
    <row r="32" spans="1:26" ht="15">
      <c r="A32" s="135"/>
      <c r="B32" s="136" t="s">
        <v>235</v>
      </c>
      <c r="C32" s="135" t="s">
        <v>232</v>
      </c>
      <c r="D32" s="148" t="s">
        <v>63</v>
      </c>
      <c r="E32" s="148" t="s">
        <v>63</v>
      </c>
      <c r="F32" s="148">
        <v>1</v>
      </c>
      <c r="G32" s="137">
        <v>1</v>
      </c>
      <c r="H32" s="148" t="s">
        <v>63</v>
      </c>
      <c r="I32" s="148" t="s">
        <v>63</v>
      </c>
      <c r="J32" s="157" t="s">
        <v>63</v>
      </c>
      <c r="K32" s="157" t="s">
        <v>63</v>
      </c>
      <c r="L32" s="158" t="s">
        <v>63</v>
      </c>
      <c r="M32" s="158" t="s">
        <v>63</v>
      </c>
      <c r="N32" s="158" t="s">
        <v>63</v>
      </c>
      <c r="O32" s="139"/>
      <c r="P32" s="140"/>
      <c r="Q32" s="141"/>
      <c r="R32" s="140"/>
      <c r="S32" s="117"/>
      <c r="T32" s="117"/>
      <c r="U32" s="118"/>
      <c r="V32" s="118"/>
      <c r="W32" s="117"/>
      <c r="X32" s="117"/>
      <c r="Y32" s="118"/>
      <c r="Z32" s="315"/>
    </row>
    <row r="33" spans="1:26" ht="15">
      <c r="A33" s="135"/>
      <c r="B33" s="136" t="s">
        <v>236</v>
      </c>
      <c r="C33" s="135" t="s">
        <v>232</v>
      </c>
      <c r="D33" s="148" t="s">
        <v>63</v>
      </c>
      <c r="E33" s="148" t="s">
        <v>63</v>
      </c>
      <c r="F33" s="148" t="s">
        <v>63</v>
      </c>
      <c r="G33" s="148" t="s">
        <v>63</v>
      </c>
      <c r="H33" s="148" t="s">
        <v>63</v>
      </c>
      <c r="I33" s="148" t="s">
        <v>63</v>
      </c>
      <c r="J33" s="157" t="s">
        <v>63</v>
      </c>
      <c r="K33" s="157" t="s">
        <v>63</v>
      </c>
      <c r="L33" s="158" t="s">
        <v>63</v>
      </c>
      <c r="M33" s="158" t="s">
        <v>63</v>
      </c>
      <c r="N33" s="158" t="s">
        <v>63</v>
      </c>
      <c r="O33" s="139"/>
      <c r="P33" s="140"/>
      <c r="Q33" s="141"/>
      <c r="R33" s="140"/>
      <c r="S33" s="117"/>
      <c r="T33" s="117"/>
      <c r="U33" s="118"/>
      <c r="V33" s="118"/>
      <c r="W33" s="117"/>
      <c r="X33" s="117"/>
      <c r="Y33" s="118"/>
      <c r="Z33" s="315"/>
    </row>
    <row r="34" spans="1:26" ht="15">
      <c r="A34" s="135"/>
      <c r="B34" s="136" t="s">
        <v>245</v>
      </c>
      <c r="C34" s="135" t="s">
        <v>232</v>
      </c>
      <c r="D34" s="148" t="s">
        <v>63</v>
      </c>
      <c r="E34" s="148" t="s">
        <v>63</v>
      </c>
      <c r="F34" s="148" t="s">
        <v>63</v>
      </c>
      <c r="G34" s="148" t="s">
        <v>63</v>
      </c>
      <c r="H34" s="148" t="s">
        <v>63</v>
      </c>
      <c r="I34" s="148" t="s">
        <v>63</v>
      </c>
      <c r="J34" s="157" t="s">
        <v>63</v>
      </c>
      <c r="K34" s="157" t="s">
        <v>63</v>
      </c>
      <c r="L34" s="158" t="s">
        <v>63</v>
      </c>
      <c r="M34" s="158" t="s">
        <v>63</v>
      </c>
      <c r="N34" s="158" t="s">
        <v>63</v>
      </c>
      <c r="O34" s="139"/>
      <c r="P34" s="140"/>
      <c r="Q34" s="141"/>
      <c r="R34" s="140"/>
      <c r="S34" s="117"/>
      <c r="T34" s="117"/>
      <c r="U34" s="118"/>
      <c r="V34" s="118"/>
      <c r="W34" s="117"/>
      <c r="X34" s="117"/>
      <c r="Y34" s="118"/>
      <c r="Z34" s="315"/>
    </row>
    <row r="35" spans="1:26" ht="15">
      <c r="A35" s="135"/>
      <c r="B35" s="57" t="s">
        <v>238</v>
      </c>
      <c r="C35" s="135" t="s">
        <v>232</v>
      </c>
      <c r="D35" s="148" t="s">
        <v>63</v>
      </c>
      <c r="E35" s="148" t="s">
        <v>63</v>
      </c>
      <c r="F35" s="148">
        <v>1</v>
      </c>
      <c r="G35" s="137">
        <v>3</v>
      </c>
      <c r="H35" s="137">
        <v>3</v>
      </c>
      <c r="I35" s="137">
        <v>3</v>
      </c>
      <c r="J35" s="138">
        <v>4</v>
      </c>
      <c r="K35" s="138">
        <v>2</v>
      </c>
      <c r="L35" s="139">
        <v>3</v>
      </c>
      <c r="M35" s="139">
        <v>3</v>
      </c>
      <c r="N35" s="139">
        <v>2</v>
      </c>
      <c r="O35" s="139">
        <v>2</v>
      </c>
      <c r="P35" s="140">
        <v>2</v>
      </c>
      <c r="Q35" s="141">
        <v>2</v>
      </c>
      <c r="R35" s="140">
        <v>2</v>
      </c>
      <c r="S35" s="117">
        <v>2</v>
      </c>
      <c r="T35" s="117">
        <v>3</v>
      </c>
      <c r="U35" s="118">
        <v>3</v>
      </c>
      <c r="V35" s="118">
        <v>4</v>
      </c>
      <c r="W35" s="117">
        <v>4</v>
      </c>
      <c r="X35" s="117">
        <v>4</v>
      </c>
      <c r="Y35" s="118">
        <v>4</v>
      </c>
      <c r="Z35" s="315">
        <v>5</v>
      </c>
    </row>
    <row r="36" spans="1:26" ht="15">
      <c r="A36" s="135"/>
      <c r="B36" s="142" t="s">
        <v>239</v>
      </c>
      <c r="C36" s="146" t="s">
        <v>232</v>
      </c>
      <c r="D36" s="148" t="s">
        <v>63</v>
      </c>
      <c r="E36" s="148" t="s">
        <v>63</v>
      </c>
      <c r="F36" s="148" t="s">
        <v>63</v>
      </c>
      <c r="G36" s="148" t="s">
        <v>63</v>
      </c>
      <c r="H36" s="148" t="s">
        <v>63</v>
      </c>
      <c r="I36" s="148" t="s">
        <v>63</v>
      </c>
      <c r="J36" s="157" t="s">
        <v>63</v>
      </c>
      <c r="K36" s="157" t="s">
        <v>63</v>
      </c>
      <c r="L36" s="158" t="s">
        <v>63</v>
      </c>
      <c r="M36" s="158" t="s">
        <v>63</v>
      </c>
      <c r="N36" s="158" t="s">
        <v>63</v>
      </c>
      <c r="O36" s="139"/>
      <c r="P36" s="140"/>
      <c r="Q36" s="141"/>
      <c r="R36" s="140"/>
      <c r="S36" s="117"/>
      <c r="T36" s="117"/>
      <c r="U36" s="118"/>
      <c r="V36" s="118"/>
      <c r="W36" s="117"/>
      <c r="X36" s="117"/>
      <c r="Y36" s="118"/>
      <c r="Z36" s="315"/>
    </row>
    <row r="37" spans="1:26" ht="15">
      <c r="A37" s="135"/>
      <c r="B37" s="145" t="s">
        <v>240</v>
      </c>
      <c r="C37" s="146" t="s">
        <v>232</v>
      </c>
      <c r="D37" s="148" t="s">
        <v>63</v>
      </c>
      <c r="E37" s="148" t="s">
        <v>63</v>
      </c>
      <c r="F37" s="148" t="s">
        <v>63</v>
      </c>
      <c r="G37" s="148" t="s">
        <v>63</v>
      </c>
      <c r="H37" s="148" t="s">
        <v>63</v>
      </c>
      <c r="I37" s="148" t="s">
        <v>63</v>
      </c>
      <c r="J37" s="157" t="s">
        <v>63</v>
      </c>
      <c r="K37" s="157" t="s">
        <v>63</v>
      </c>
      <c r="L37" s="158" t="s">
        <v>63</v>
      </c>
      <c r="M37" s="158" t="s">
        <v>63</v>
      </c>
      <c r="N37" s="158" t="s">
        <v>63</v>
      </c>
      <c r="O37" s="139"/>
      <c r="P37" s="140">
        <v>1</v>
      </c>
      <c r="Q37" s="141">
        <v>1</v>
      </c>
      <c r="R37" s="140">
        <v>1</v>
      </c>
      <c r="S37" s="117">
        <v>1</v>
      </c>
      <c r="T37" s="117">
        <v>1</v>
      </c>
      <c r="U37" s="118">
        <v>1</v>
      </c>
      <c r="V37" s="118">
        <v>1</v>
      </c>
      <c r="W37" s="117">
        <v>1</v>
      </c>
      <c r="X37" s="117">
        <v>1</v>
      </c>
      <c r="Y37" s="118">
        <v>1</v>
      </c>
      <c r="Z37" s="315">
        <v>4</v>
      </c>
    </row>
    <row r="38" spans="1:26" ht="15">
      <c r="A38" s="135"/>
      <c r="B38" s="145" t="s">
        <v>241</v>
      </c>
      <c r="C38" s="146" t="s">
        <v>232</v>
      </c>
      <c r="D38" s="148" t="s">
        <v>63</v>
      </c>
      <c r="E38" s="148">
        <v>1</v>
      </c>
      <c r="F38" s="148">
        <v>2</v>
      </c>
      <c r="G38" s="137">
        <v>2</v>
      </c>
      <c r="H38" s="137">
        <v>2</v>
      </c>
      <c r="I38" s="137">
        <v>2</v>
      </c>
      <c r="J38" s="138">
        <v>2</v>
      </c>
      <c r="K38" s="138">
        <v>2</v>
      </c>
      <c r="L38" s="139">
        <v>2</v>
      </c>
      <c r="M38" s="139">
        <v>2</v>
      </c>
      <c r="N38" s="139">
        <v>2</v>
      </c>
      <c r="O38" s="139">
        <v>2</v>
      </c>
      <c r="P38" s="140">
        <v>2</v>
      </c>
      <c r="Q38" s="141">
        <v>2</v>
      </c>
      <c r="R38" s="140">
        <v>2</v>
      </c>
      <c r="S38" s="117">
        <v>2</v>
      </c>
      <c r="T38" s="117">
        <v>1</v>
      </c>
      <c r="U38" s="118">
        <v>1</v>
      </c>
      <c r="V38" s="118">
        <v>1</v>
      </c>
      <c r="W38" s="117">
        <v>1</v>
      </c>
      <c r="X38" s="117">
        <v>2</v>
      </c>
      <c r="Y38" s="118">
        <v>2</v>
      </c>
      <c r="Z38" s="315">
        <v>2</v>
      </c>
    </row>
    <row r="39" spans="1:26" ht="15">
      <c r="A39" s="159"/>
      <c r="B39" s="80" t="s">
        <v>247</v>
      </c>
      <c r="C39" s="159"/>
      <c r="D39" s="160"/>
      <c r="E39" s="160"/>
      <c r="F39" s="160"/>
      <c r="G39" s="137"/>
      <c r="H39" s="137"/>
      <c r="I39" s="137"/>
      <c r="J39" s="138"/>
      <c r="K39" s="138"/>
      <c r="L39" s="139"/>
      <c r="M39" s="139"/>
      <c r="N39" s="139"/>
      <c r="O39" s="139"/>
      <c r="P39" s="140"/>
      <c r="Q39" s="141"/>
      <c r="R39" s="140"/>
      <c r="S39" s="117"/>
      <c r="T39" s="117"/>
      <c r="U39" s="118"/>
      <c r="V39" s="118"/>
      <c r="W39" s="117"/>
      <c r="X39" s="117"/>
      <c r="Y39" s="118"/>
      <c r="Z39" s="315"/>
    </row>
    <row r="40" spans="1:26" ht="15">
      <c r="A40" s="135"/>
      <c r="B40" s="161" t="s">
        <v>248</v>
      </c>
      <c r="C40" s="135" t="s">
        <v>232</v>
      </c>
      <c r="D40" s="144">
        <v>14</v>
      </c>
      <c r="E40" s="144">
        <v>21</v>
      </c>
      <c r="F40" s="144">
        <v>24</v>
      </c>
      <c r="G40" s="137">
        <v>27</v>
      </c>
      <c r="H40" s="137">
        <v>27</v>
      </c>
      <c r="I40" s="137">
        <v>27</v>
      </c>
      <c r="J40" s="138">
        <v>26</v>
      </c>
      <c r="K40" s="138">
        <v>30</v>
      </c>
      <c r="L40" s="139">
        <v>31</v>
      </c>
      <c r="M40" s="139">
        <v>32</v>
      </c>
      <c r="N40" s="139">
        <v>32</v>
      </c>
      <c r="O40" s="139">
        <v>30</v>
      </c>
      <c r="P40" s="140">
        <v>31</v>
      </c>
      <c r="Q40" s="141">
        <v>31</v>
      </c>
      <c r="R40" s="140">
        <v>32</v>
      </c>
      <c r="S40" s="117">
        <v>32</v>
      </c>
      <c r="T40" s="117">
        <v>32</v>
      </c>
      <c r="U40" s="118">
        <v>34</v>
      </c>
      <c r="V40" s="118">
        <v>34</v>
      </c>
      <c r="W40" s="117">
        <v>34</v>
      </c>
      <c r="X40" s="117">
        <v>36</v>
      </c>
      <c r="Y40" s="118">
        <v>34</v>
      </c>
      <c r="Z40" s="315">
        <v>34</v>
      </c>
    </row>
    <row r="41" spans="1:26" ht="15">
      <c r="A41" s="135"/>
      <c r="B41" s="161" t="s">
        <v>249</v>
      </c>
      <c r="C41" s="146" t="s">
        <v>232</v>
      </c>
      <c r="D41" s="144">
        <v>8</v>
      </c>
      <c r="E41" s="144">
        <v>11</v>
      </c>
      <c r="F41" s="144">
        <v>16</v>
      </c>
      <c r="G41" s="137">
        <v>9</v>
      </c>
      <c r="H41" s="137">
        <v>9</v>
      </c>
      <c r="I41" s="137">
        <v>9</v>
      </c>
      <c r="J41" s="138">
        <v>9</v>
      </c>
      <c r="K41" s="138">
        <v>6</v>
      </c>
      <c r="L41" s="139">
        <v>5</v>
      </c>
      <c r="M41" s="139">
        <v>4</v>
      </c>
      <c r="N41" s="139">
        <v>4</v>
      </c>
      <c r="O41" s="139">
        <v>5</v>
      </c>
      <c r="P41" s="140">
        <v>5</v>
      </c>
      <c r="Q41" s="141">
        <v>5</v>
      </c>
      <c r="R41" s="140">
        <v>4</v>
      </c>
      <c r="S41" s="117">
        <v>4</v>
      </c>
      <c r="T41" s="117">
        <v>3</v>
      </c>
      <c r="U41" s="118">
        <v>3</v>
      </c>
      <c r="V41" s="118">
        <v>4</v>
      </c>
      <c r="W41" s="117">
        <v>4</v>
      </c>
      <c r="X41" s="117">
        <v>4</v>
      </c>
      <c r="Y41" s="118">
        <v>4</v>
      </c>
      <c r="Z41" s="315">
        <v>4</v>
      </c>
    </row>
    <row r="42" spans="1:26" ht="15">
      <c r="A42" s="135"/>
      <c r="B42" s="161" t="s">
        <v>250</v>
      </c>
      <c r="C42" s="135" t="s">
        <v>232</v>
      </c>
      <c r="D42" s="144">
        <v>4</v>
      </c>
      <c r="E42" s="144">
        <v>6</v>
      </c>
      <c r="F42" s="144">
        <v>7</v>
      </c>
      <c r="G42" s="137">
        <v>5</v>
      </c>
      <c r="H42" s="137">
        <v>5</v>
      </c>
      <c r="I42" s="137">
        <v>5</v>
      </c>
      <c r="J42" s="138">
        <v>5</v>
      </c>
      <c r="K42" s="138">
        <v>3</v>
      </c>
      <c r="L42" s="139">
        <v>3</v>
      </c>
      <c r="M42" s="139">
        <v>1</v>
      </c>
      <c r="N42" s="158" t="s">
        <v>63</v>
      </c>
      <c r="O42" s="139"/>
      <c r="P42" s="140"/>
      <c r="Q42" s="141"/>
      <c r="R42" s="140"/>
      <c r="S42" s="117"/>
      <c r="T42" s="117">
        <v>1</v>
      </c>
      <c r="U42" s="118">
        <v>1</v>
      </c>
      <c r="V42" s="118"/>
      <c r="W42" s="117"/>
      <c r="X42" s="117"/>
      <c r="Y42" s="118"/>
      <c r="Z42" s="315"/>
    </row>
    <row r="43" spans="1:26" ht="15">
      <c r="A43" s="135"/>
      <c r="B43" s="161" t="s">
        <v>251</v>
      </c>
      <c r="C43" s="135" t="s">
        <v>232</v>
      </c>
      <c r="D43" s="144">
        <v>4</v>
      </c>
      <c r="E43" s="144">
        <v>6</v>
      </c>
      <c r="F43" s="144">
        <v>7</v>
      </c>
      <c r="G43" s="137">
        <v>5</v>
      </c>
      <c r="H43" s="137">
        <v>5</v>
      </c>
      <c r="I43" s="137">
        <v>5</v>
      </c>
      <c r="J43" s="138">
        <v>5</v>
      </c>
      <c r="K43" s="138">
        <v>3</v>
      </c>
      <c r="L43" s="139">
        <v>2</v>
      </c>
      <c r="M43" s="139">
        <v>1</v>
      </c>
      <c r="N43" s="158" t="s">
        <v>63</v>
      </c>
      <c r="O43" s="139"/>
      <c r="P43" s="140"/>
      <c r="Q43" s="141">
        <v>1</v>
      </c>
      <c r="R43" s="140">
        <v>1</v>
      </c>
      <c r="S43" s="117">
        <v>1</v>
      </c>
      <c r="T43" s="117"/>
      <c r="U43" s="118"/>
      <c r="V43" s="118"/>
      <c r="W43" s="117"/>
      <c r="X43" s="117"/>
      <c r="Y43" s="118"/>
      <c r="Z43" s="315"/>
    </row>
    <row r="44" spans="1:26" ht="15">
      <c r="A44" s="135"/>
      <c r="B44" s="161" t="s">
        <v>252</v>
      </c>
      <c r="C44" s="135" t="s">
        <v>232</v>
      </c>
      <c r="D44" s="144" t="s">
        <v>63</v>
      </c>
      <c r="E44" s="144" t="s">
        <v>63</v>
      </c>
      <c r="F44" s="144" t="s">
        <v>63</v>
      </c>
      <c r="G44" s="144" t="s">
        <v>63</v>
      </c>
      <c r="H44" s="144" t="s">
        <v>63</v>
      </c>
      <c r="I44" s="144" t="s">
        <v>63</v>
      </c>
      <c r="J44" s="150" t="s">
        <v>63</v>
      </c>
      <c r="K44" s="150" t="s">
        <v>63</v>
      </c>
      <c r="L44" s="139">
        <v>1</v>
      </c>
      <c r="M44" s="158" t="s">
        <v>63</v>
      </c>
      <c r="N44" s="158" t="s">
        <v>63</v>
      </c>
      <c r="O44" s="139"/>
      <c r="P44" s="140"/>
      <c r="Q44" s="141"/>
      <c r="R44" s="140"/>
      <c r="S44" s="117"/>
      <c r="T44" s="117"/>
      <c r="U44" s="118"/>
      <c r="V44" s="118"/>
      <c r="W44" s="117"/>
      <c r="X44" s="117"/>
      <c r="Y44" s="118"/>
      <c r="Z44" s="315"/>
    </row>
    <row r="45" spans="1:26" ht="30.75">
      <c r="A45" s="135"/>
      <c r="B45" s="37" t="s">
        <v>253</v>
      </c>
      <c r="C45" s="135" t="s">
        <v>232</v>
      </c>
      <c r="D45" s="144" t="s">
        <v>63</v>
      </c>
      <c r="E45" s="144" t="s">
        <v>63</v>
      </c>
      <c r="F45" s="144" t="s">
        <v>63</v>
      </c>
      <c r="G45" s="144" t="s">
        <v>63</v>
      </c>
      <c r="H45" s="144" t="s">
        <v>63</v>
      </c>
      <c r="I45" s="144" t="s">
        <v>63</v>
      </c>
      <c r="J45" s="150" t="s">
        <v>63</v>
      </c>
      <c r="K45" s="150" t="s">
        <v>63</v>
      </c>
      <c r="L45" s="162" t="s">
        <v>63</v>
      </c>
      <c r="M45" s="162" t="s">
        <v>63</v>
      </c>
      <c r="N45" s="158" t="s">
        <v>63</v>
      </c>
      <c r="O45" s="139"/>
      <c r="P45" s="140"/>
      <c r="Q45" s="141"/>
      <c r="R45" s="140"/>
      <c r="S45" s="117"/>
      <c r="T45" s="117"/>
      <c r="U45" s="118"/>
      <c r="V45" s="118"/>
      <c r="W45" s="117"/>
      <c r="X45" s="117"/>
      <c r="Y45" s="118"/>
      <c r="Z45" s="315"/>
    </row>
    <row r="46" spans="1:26" ht="15">
      <c r="A46" s="135"/>
      <c r="B46" s="20" t="s">
        <v>254</v>
      </c>
      <c r="C46" s="135" t="s">
        <v>232</v>
      </c>
      <c r="D46" s="163" t="s">
        <v>255</v>
      </c>
      <c r="E46" s="163" t="s">
        <v>255</v>
      </c>
      <c r="F46" s="163" t="s">
        <v>255</v>
      </c>
      <c r="G46" s="137"/>
      <c r="H46" s="137"/>
      <c r="I46" s="137"/>
      <c r="J46" s="138"/>
      <c r="K46" s="138"/>
      <c r="L46" s="139"/>
      <c r="M46" s="139"/>
      <c r="N46" s="139"/>
      <c r="O46" s="139"/>
      <c r="P46" s="140"/>
      <c r="Q46" s="141"/>
      <c r="R46" s="140"/>
      <c r="S46" s="117"/>
      <c r="T46" s="117"/>
      <c r="U46" s="118"/>
      <c r="V46" s="118"/>
      <c r="W46" s="117"/>
      <c r="X46" s="117"/>
      <c r="Y46" s="118"/>
      <c r="Z46" s="315"/>
    </row>
    <row r="47" spans="1:26" ht="15">
      <c r="A47" s="135"/>
      <c r="B47" s="161" t="s">
        <v>256</v>
      </c>
      <c r="C47" s="146" t="s">
        <v>232</v>
      </c>
      <c r="D47" s="144">
        <v>1</v>
      </c>
      <c r="E47" s="144">
        <v>4</v>
      </c>
      <c r="F47" s="144">
        <v>4</v>
      </c>
      <c r="G47" s="137">
        <v>20</v>
      </c>
      <c r="H47" s="137">
        <v>15</v>
      </c>
      <c r="I47" s="137">
        <v>15</v>
      </c>
      <c r="J47" s="138">
        <v>13</v>
      </c>
      <c r="K47" s="138">
        <v>15</v>
      </c>
      <c r="L47" s="139">
        <v>15</v>
      </c>
      <c r="M47" s="139">
        <v>17</v>
      </c>
      <c r="N47" s="139">
        <v>17</v>
      </c>
      <c r="O47" s="139">
        <v>19</v>
      </c>
      <c r="P47" s="140">
        <v>14</v>
      </c>
      <c r="Q47" s="141">
        <v>14</v>
      </c>
      <c r="R47" s="140">
        <v>14</v>
      </c>
      <c r="S47" s="117">
        <v>11</v>
      </c>
      <c r="T47" s="117">
        <v>6</v>
      </c>
      <c r="U47" s="118">
        <v>11</v>
      </c>
      <c r="V47" s="118">
        <v>10</v>
      </c>
      <c r="W47" s="117">
        <v>7</v>
      </c>
      <c r="X47" s="117">
        <v>8</v>
      </c>
      <c r="Y47" s="118">
        <v>8</v>
      </c>
      <c r="Z47" s="315">
        <v>9</v>
      </c>
    </row>
    <row r="48" spans="1:26" ht="15">
      <c r="A48" s="135"/>
      <c r="B48" s="161" t="s">
        <v>257</v>
      </c>
      <c r="C48" s="135" t="s">
        <v>232</v>
      </c>
      <c r="D48" s="144">
        <v>8</v>
      </c>
      <c r="E48" s="144">
        <v>10</v>
      </c>
      <c r="F48" s="144">
        <v>26</v>
      </c>
      <c r="G48" s="137">
        <v>12</v>
      </c>
      <c r="H48" s="137">
        <v>16</v>
      </c>
      <c r="I48" s="137">
        <v>16</v>
      </c>
      <c r="J48" s="138">
        <v>15</v>
      </c>
      <c r="K48" s="138">
        <v>13</v>
      </c>
      <c r="L48" s="139">
        <v>13</v>
      </c>
      <c r="M48" s="139">
        <v>11</v>
      </c>
      <c r="N48" s="139">
        <v>10</v>
      </c>
      <c r="O48" s="139">
        <v>9</v>
      </c>
      <c r="P48" s="140">
        <v>13</v>
      </c>
      <c r="Q48" s="141">
        <v>13</v>
      </c>
      <c r="R48" s="140">
        <v>13</v>
      </c>
      <c r="S48" s="117">
        <v>16</v>
      </c>
      <c r="T48" s="117">
        <v>15</v>
      </c>
      <c r="U48" s="118">
        <v>9</v>
      </c>
      <c r="V48" s="118">
        <v>8</v>
      </c>
      <c r="W48" s="117">
        <v>11</v>
      </c>
      <c r="X48" s="117">
        <v>12</v>
      </c>
      <c r="Y48" s="118">
        <v>10</v>
      </c>
      <c r="Z48" s="315">
        <v>8</v>
      </c>
    </row>
    <row r="49" spans="1:26" ht="15">
      <c r="A49" s="135"/>
      <c r="B49" s="161" t="s">
        <v>258</v>
      </c>
      <c r="C49" s="135" t="s">
        <v>232</v>
      </c>
      <c r="D49" s="144">
        <v>7</v>
      </c>
      <c r="E49" s="144">
        <v>11</v>
      </c>
      <c r="F49" s="144">
        <v>6</v>
      </c>
      <c r="G49" s="137">
        <v>4</v>
      </c>
      <c r="H49" s="137">
        <v>4</v>
      </c>
      <c r="I49" s="137">
        <v>4</v>
      </c>
      <c r="J49" s="138">
        <v>6</v>
      </c>
      <c r="K49" s="138">
        <v>7</v>
      </c>
      <c r="L49" s="139">
        <v>7</v>
      </c>
      <c r="M49" s="139">
        <v>7</v>
      </c>
      <c r="N49" s="139">
        <v>8</v>
      </c>
      <c r="O49" s="139">
        <v>9</v>
      </c>
      <c r="P49" s="140">
        <v>6</v>
      </c>
      <c r="Q49" s="141">
        <v>5</v>
      </c>
      <c r="R49" s="140">
        <v>5</v>
      </c>
      <c r="S49" s="117">
        <v>5</v>
      </c>
      <c r="T49" s="117">
        <v>11</v>
      </c>
      <c r="U49" s="118">
        <v>14</v>
      </c>
      <c r="V49" s="118">
        <v>16</v>
      </c>
      <c r="W49" s="117">
        <v>16</v>
      </c>
      <c r="X49" s="117">
        <v>16</v>
      </c>
      <c r="Y49" s="118">
        <v>16</v>
      </c>
      <c r="Z49" s="315">
        <v>17</v>
      </c>
    </row>
    <row r="50" spans="1:26" ht="15">
      <c r="A50" s="135"/>
      <c r="B50" s="161" t="s">
        <v>259</v>
      </c>
      <c r="C50" s="146" t="s">
        <v>232</v>
      </c>
      <c r="D50" s="144">
        <v>6</v>
      </c>
      <c r="E50" s="144">
        <v>8</v>
      </c>
      <c r="F50" s="148" t="s">
        <v>63</v>
      </c>
      <c r="G50" s="148" t="s">
        <v>63</v>
      </c>
      <c r="H50" s="137">
        <v>1</v>
      </c>
      <c r="I50" s="137">
        <v>1</v>
      </c>
      <c r="J50" s="138">
        <v>1</v>
      </c>
      <c r="K50" s="138">
        <v>1</v>
      </c>
      <c r="L50" s="139">
        <v>1</v>
      </c>
      <c r="M50" s="139">
        <v>1</v>
      </c>
      <c r="N50" s="139">
        <v>1</v>
      </c>
      <c r="O50" s="139">
        <v>1</v>
      </c>
      <c r="P50" s="140">
        <v>3</v>
      </c>
      <c r="Q50" s="141">
        <v>4</v>
      </c>
      <c r="R50" s="140">
        <v>4</v>
      </c>
      <c r="S50" s="117">
        <v>4</v>
      </c>
      <c r="T50" s="117">
        <v>4</v>
      </c>
      <c r="U50" s="118">
        <v>4</v>
      </c>
      <c r="V50" s="118">
        <v>4</v>
      </c>
      <c r="W50" s="117">
        <v>4</v>
      </c>
      <c r="X50" s="117">
        <v>4</v>
      </c>
      <c r="Y50" s="118">
        <v>4</v>
      </c>
      <c r="Z50" s="315">
        <v>4</v>
      </c>
    </row>
    <row r="51" spans="1:15" ht="15">
      <c r="A51" s="68"/>
      <c r="B51" s="164"/>
      <c r="C51" s="68"/>
      <c r="D51" s="165"/>
      <c r="E51" s="165"/>
      <c r="F51" s="165"/>
      <c r="G51" s="166"/>
      <c r="H51" s="166"/>
      <c r="I51" s="166"/>
      <c r="J51" s="166"/>
      <c r="K51" s="166"/>
      <c r="L51" s="166"/>
      <c r="M51" s="167"/>
      <c r="N51" s="166"/>
      <c r="O51" s="166"/>
    </row>
    <row r="52" spans="1:6" ht="15">
      <c r="A52" s="68"/>
      <c r="B52" s="14"/>
      <c r="C52" s="68"/>
      <c r="D52" s="168"/>
      <c r="E52" s="168"/>
      <c r="F52" s="168"/>
    </row>
    <row r="53" spans="1:6" ht="15">
      <c r="A53" s="68"/>
      <c r="B53" s="169"/>
      <c r="C53" s="170"/>
      <c r="D53" s="168"/>
      <c r="E53" s="168"/>
      <c r="F53" s="168"/>
    </row>
    <row r="54" spans="1:6" ht="15">
      <c r="A54" s="68"/>
      <c r="B54" s="164"/>
      <c r="C54" s="68"/>
      <c r="D54" s="168"/>
      <c r="E54" s="168"/>
      <c r="F54" s="168"/>
    </row>
    <row r="57" spans="1:4" ht="15">
      <c r="A57" s="171"/>
      <c r="B57" s="397"/>
      <c r="C57" s="397"/>
      <c r="D57" s="48"/>
    </row>
    <row r="58" spans="1:4" ht="15">
      <c r="A58" s="171"/>
      <c r="B58" s="172"/>
      <c r="C58" s="55"/>
      <c r="D58" s="48"/>
    </row>
    <row r="59" spans="1:4" ht="15">
      <c r="A59" s="53"/>
      <c r="B59" s="54"/>
      <c r="C59" s="55"/>
      <c r="D59" s="48"/>
    </row>
    <row r="60" spans="1:4" ht="15">
      <c r="A60" s="53"/>
      <c r="B60" s="54"/>
      <c r="C60" s="55"/>
      <c r="D60" s="48"/>
    </row>
    <row r="61" spans="1:4" ht="15">
      <c r="A61" s="53"/>
      <c r="B61" s="54"/>
      <c r="C61" s="55"/>
      <c r="D61" s="48"/>
    </row>
    <row r="62" spans="1:4" ht="15">
      <c r="A62" s="53"/>
      <c r="B62" s="54"/>
      <c r="C62" s="55"/>
      <c r="D62" s="48"/>
    </row>
    <row r="63" spans="1:4" ht="15">
      <c r="A63" s="53"/>
      <c r="B63" s="54"/>
      <c r="C63" s="55"/>
      <c r="D63" s="48"/>
    </row>
    <row r="64" spans="1:4" ht="15">
      <c r="A64" s="53"/>
      <c r="B64" s="54"/>
      <c r="C64" s="55"/>
      <c r="D64" s="48"/>
    </row>
    <row r="65" spans="1:4" ht="15">
      <c r="A65" s="53"/>
      <c r="B65" s="54"/>
      <c r="C65" s="55"/>
      <c r="D65" s="48"/>
    </row>
    <row r="66" spans="1:4" ht="15">
      <c r="A66" s="53"/>
      <c r="B66" s="54"/>
      <c r="C66" s="55"/>
      <c r="D66" s="48"/>
    </row>
    <row r="67" spans="1:4" ht="15">
      <c r="A67" s="171"/>
      <c r="B67" s="172"/>
      <c r="C67" s="55"/>
      <c r="D67" s="48"/>
    </row>
    <row r="68" spans="1:4" ht="15">
      <c r="A68" s="53"/>
      <c r="B68" s="54"/>
      <c r="C68" s="55"/>
      <c r="D68" s="48"/>
    </row>
    <row r="69" spans="1:4" ht="15">
      <c r="A69" s="53"/>
      <c r="B69" s="54"/>
      <c r="C69" s="55"/>
      <c r="D69" s="48"/>
    </row>
    <row r="70" spans="1:4" ht="15">
      <c r="A70" s="53"/>
      <c r="B70" s="54"/>
      <c r="C70" s="55"/>
      <c r="D70" s="48"/>
    </row>
    <row r="71" spans="1:4" ht="15">
      <c r="A71" s="53"/>
      <c r="B71" s="54"/>
      <c r="C71" s="55"/>
      <c r="D71" s="48"/>
    </row>
    <row r="72" spans="1:4" ht="15">
      <c r="A72" s="53"/>
      <c r="B72" s="54"/>
      <c r="C72" s="55"/>
      <c r="D72" s="48"/>
    </row>
    <row r="73" spans="1:4" ht="15">
      <c r="A73" s="53"/>
      <c r="B73" s="54"/>
      <c r="C73" s="55"/>
      <c r="D73" s="48"/>
    </row>
    <row r="74" spans="1:4" ht="15">
      <c r="A74" s="53"/>
      <c r="B74" s="54"/>
      <c r="C74" s="55"/>
      <c r="D74" s="48"/>
    </row>
    <row r="75" spans="1:4" ht="15">
      <c r="A75" s="53"/>
      <c r="B75" s="54"/>
      <c r="C75" s="55"/>
      <c r="D75" s="48"/>
    </row>
    <row r="76" spans="1:4" ht="15">
      <c r="A76" s="171"/>
      <c r="B76" s="172"/>
      <c r="C76" s="55"/>
      <c r="D76" s="48"/>
    </row>
    <row r="77" spans="1:4" ht="15">
      <c r="A77" s="53"/>
      <c r="B77" s="54"/>
      <c r="C77" s="55"/>
      <c r="D77" s="48"/>
    </row>
    <row r="78" spans="1:4" ht="15">
      <c r="A78" s="53"/>
      <c r="B78" s="54"/>
      <c r="C78" s="55"/>
      <c r="D78" s="48"/>
    </row>
    <row r="79" spans="1:4" ht="15">
      <c r="A79" s="53"/>
      <c r="B79" s="54"/>
      <c r="C79" s="55"/>
      <c r="D79" s="48"/>
    </row>
    <row r="80" spans="1:4" ht="15">
      <c r="A80" s="53"/>
      <c r="B80" s="48"/>
      <c r="C80" s="55"/>
      <c r="D80" s="48"/>
    </row>
    <row r="81" spans="1:4" ht="15">
      <c r="A81" s="171"/>
      <c r="B81" s="172"/>
      <c r="C81" s="55"/>
      <c r="D81" s="48"/>
    </row>
    <row r="82" spans="1:4" ht="15">
      <c r="A82" s="53"/>
      <c r="B82" s="54"/>
      <c r="C82" s="55"/>
      <c r="D82" s="48"/>
    </row>
    <row r="83" spans="1:4" ht="15">
      <c r="A83" s="53"/>
      <c r="B83" s="54"/>
      <c r="C83" s="55"/>
      <c r="D83" s="48"/>
    </row>
    <row r="84" spans="1:4" ht="15">
      <c r="A84" s="53"/>
      <c r="B84" s="54"/>
      <c r="C84" s="55"/>
      <c r="D84" s="48"/>
    </row>
    <row r="85" spans="1:4" ht="15">
      <c r="A85" s="53"/>
      <c r="B85" s="54"/>
      <c r="C85" s="55"/>
      <c r="D85" s="48"/>
    </row>
    <row r="86" spans="1:4" ht="15">
      <c r="A86" s="48"/>
      <c r="B86" s="48"/>
      <c r="C86" s="55"/>
      <c r="D86" s="48"/>
    </row>
    <row r="87" spans="1:4" ht="15">
      <c r="A87" s="48"/>
      <c r="B87" s="48"/>
      <c r="C87" s="55"/>
      <c r="D87" s="48"/>
    </row>
    <row r="88" spans="1:4" ht="15">
      <c r="A88" s="173"/>
      <c r="B88" s="173"/>
      <c r="C88" s="173"/>
      <c r="D88" s="48"/>
    </row>
    <row r="89" spans="1:4" ht="15">
      <c r="A89" s="173"/>
      <c r="B89" s="173"/>
      <c r="C89" s="173"/>
      <c r="D89" s="48"/>
    </row>
    <row r="90" spans="1:4" ht="15">
      <c r="A90" s="173"/>
      <c r="B90" s="173"/>
      <c r="C90" s="173"/>
      <c r="D90" s="48"/>
    </row>
    <row r="91" spans="1:4" ht="15">
      <c r="A91" s="173"/>
      <c r="B91" s="173"/>
      <c r="C91" s="173"/>
      <c r="D91" s="48"/>
    </row>
    <row r="92" spans="1:4" ht="15">
      <c r="A92" s="173"/>
      <c r="B92" s="173"/>
      <c r="C92" s="173"/>
      <c r="D92" s="48"/>
    </row>
  </sheetData>
  <sheetProtection selectLockedCells="1" selectUnlockedCells="1"/>
  <mergeCells count="4">
    <mergeCell ref="A1:D1"/>
    <mergeCell ref="A2:E2"/>
    <mergeCell ref="A3:F3"/>
    <mergeCell ref="B57:C5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zoomScale="110" zoomScaleNormal="110" zoomScalePageLayoutView="0" workbookViewId="0" topLeftCell="A28">
      <selection activeCell="H22" sqref="H22"/>
    </sheetView>
  </sheetViews>
  <sheetFormatPr defaultColWidth="9.50390625" defaultRowHeight="12.75"/>
  <cols>
    <col min="1" max="1" width="5.50390625" style="174" customWidth="1"/>
    <col min="2" max="2" width="44.50390625" style="174" customWidth="1"/>
    <col min="3" max="3" width="16.00390625" style="174" customWidth="1"/>
    <col min="4" max="4" width="19.50390625" style="175" customWidth="1"/>
    <col min="5" max="16384" width="9.50390625" style="174" customWidth="1"/>
  </cols>
  <sheetData>
    <row r="1" spans="1:4" ht="12.75" customHeight="1">
      <c r="A1" s="382" t="s">
        <v>10</v>
      </c>
      <c r="B1" s="382"/>
      <c r="C1" s="382"/>
      <c r="D1" s="382"/>
    </row>
    <row r="2" spans="1:5" ht="12.75" customHeight="1">
      <c r="A2" s="398" t="s">
        <v>23</v>
      </c>
      <c r="B2" s="398"/>
      <c r="C2" s="398"/>
      <c r="D2" s="398"/>
      <c r="E2" s="398"/>
    </row>
    <row r="3" spans="1:4" ht="12.75" customHeight="1">
      <c r="A3" s="399" t="s">
        <v>24</v>
      </c>
      <c r="B3" s="399"/>
      <c r="C3" s="399"/>
      <c r="D3" s="399"/>
    </row>
    <row r="4" spans="1:3" ht="15">
      <c r="A4" s="175"/>
      <c r="B4" s="175"/>
      <c r="C4" s="175"/>
    </row>
    <row r="5" spans="1:4" ht="29.25" customHeight="1">
      <c r="A5" s="176" t="s">
        <v>206</v>
      </c>
      <c r="B5" s="176" t="s">
        <v>207</v>
      </c>
      <c r="C5" s="400" t="s">
        <v>260</v>
      </c>
      <c r="D5" s="400"/>
    </row>
    <row r="6" spans="1:4" ht="12.75" customHeight="1">
      <c r="A6" s="401" t="s">
        <v>261</v>
      </c>
      <c r="B6" s="401"/>
      <c r="C6" s="401"/>
      <c r="D6" s="401"/>
    </row>
    <row r="7" spans="1:4" ht="12.75" customHeight="1">
      <c r="A7" s="177" t="s">
        <v>3</v>
      </c>
      <c r="B7" s="178" t="s">
        <v>262</v>
      </c>
      <c r="C7" s="402" t="s">
        <v>263</v>
      </c>
      <c r="D7" s="402"/>
    </row>
    <row r="8" spans="1:4" ht="15.75" customHeight="1">
      <c r="A8" s="177" t="s">
        <v>5</v>
      </c>
      <c r="B8" s="178" t="s">
        <v>264</v>
      </c>
      <c r="C8" s="402" t="s">
        <v>265</v>
      </c>
      <c r="D8" s="402"/>
    </row>
    <row r="9" spans="1:4" ht="12.75" customHeight="1">
      <c r="A9" s="177" t="s">
        <v>7</v>
      </c>
      <c r="B9" s="178" t="s">
        <v>266</v>
      </c>
      <c r="C9" s="402" t="s">
        <v>267</v>
      </c>
      <c r="D9" s="402"/>
    </row>
    <row r="10" spans="1:4" ht="12.75" customHeight="1">
      <c r="A10" s="177" t="s">
        <v>9</v>
      </c>
      <c r="B10" s="178" t="s">
        <v>268</v>
      </c>
      <c r="C10" s="402" t="s">
        <v>38</v>
      </c>
      <c r="D10" s="402"/>
    </row>
    <row r="11" spans="1:4" ht="12.75" customHeight="1">
      <c r="A11" s="177" t="s">
        <v>269</v>
      </c>
      <c r="B11" s="178" t="s">
        <v>270</v>
      </c>
      <c r="C11" s="402" t="s">
        <v>38</v>
      </c>
      <c r="D11" s="402"/>
    </row>
    <row r="12" spans="1:4" s="179" customFormat="1" ht="156" customHeight="1">
      <c r="A12" s="66" t="s">
        <v>11</v>
      </c>
      <c r="B12" s="25" t="s">
        <v>271</v>
      </c>
      <c r="C12" s="403" t="s">
        <v>38</v>
      </c>
      <c r="D12" s="403"/>
    </row>
    <row r="13" spans="1:4" s="179" customFormat="1" ht="53.25" customHeight="1">
      <c r="A13" s="66" t="s">
        <v>13</v>
      </c>
      <c r="B13" s="25" t="s">
        <v>272</v>
      </c>
      <c r="C13" s="402" t="s">
        <v>38</v>
      </c>
      <c r="D13" s="402"/>
    </row>
    <row r="14" spans="1:4" ht="0.75" customHeight="1" hidden="1">
      <c r="A14" s="401"/>
      <c r="B14" s="401"/>
      <c r="C14" s="401"/>
      <c r="D14" s="401"/>
    </row>
    <row r="15" spans="1:4" ht="15" hidden="1">
      <c r="A15" s="177"/>
      <c r="B15" s="180"/>
      <c r="C15" s="402"/>
      <c r="D15" s="402"/>
    </row>
    <row r="16" spans="1:4" ht="15" hidden="1">
      <c r="A16" s="177"/>
      <c r="B16" s="180"/>
      <c r="C16" s="402"/>
      <c r="D16" s="402"/>
    </row>
    <row r="17" spans="1:4" ht="15" hidden="1">
      <c r="A17" s="177"/>
      <c r="B17" s="180"/>
      <c r="C17" s="402"/>
      <c r="D17" s="402"/>
    </row>
    <row r="18" spans="1:4" ht="15" hidden="1">
      <c r="A18" s="177"/>
      <c r="B18" s="180"/>
      <c r="C18" s="402"/>
      <c r="D18" s="402"/>
    </row>
    <row r="19" spans="1:4" ht="15" hidden="1">
      <c r="A19" s="177"/>
      <c r="B19" s="180"/>
      <c r="C19" s="402"/>
      <c r="D19" s="402"/>
    </row>
    <row r="20" spans="1:4" ht="15" hidden="1">
      <c r="A20" s="177"/>
      <c r="B20" s="180"/>
      <c r="C20" s="402"/>
      <c r="D20" s="402"/>
    </row>
    <row r="21" spans="1:4" ht="15" hidden="1">
      <c r="A21" s="181"/>
      <c r="B21" s="182"/>
      <c r="C21" s="183"/>
      <c r="D21" s="184"/>
    </row>
    <row r="22" spans="1:4" ht="12.75" customHeight="1">
      <c r="A22" s="401" t="s">
        <v>273</v>
      </c>
      <c r="B22" s="401"/>
      <c r="C22" s="401"/>
      <c r="D22" s="401"/>
    </row>
    <row r="23" spans="1:4" ht="12.75" customHeight="1">
      <c r="A23" s="177">
        <v>7</v>
      </c>
      <c r="B23" s="180" t="s">
        <v>262</v>
      </c>
      <c r="C23" s="402" t="s">
        <v>274</v>
      </c>
      <c r="D23" s="402"/>
    </row>
    <row r="24" spans="1:4" ht="12.75" customHeight="1">
      <c r="A24" s="177" t="s">
        <v>17</v>
      </c>
      <c r="B24" s="180" t="s">
        <v>266</v>
      </c>
      <c r="C24" s="402" t="s">
        <v>275</v>
      </c>
      <c r="D24" s="402"/>
    </row>
    <row r="25" spans="1:4" ht="12.75" customHeight="1">
      <c r="A25" s="177" t="s">
        <v>19</v>
      </c>
      <c r="B25" s="180" t="s">
        <v>270</v>
      </c>
      <c r="C25" s="402" t="s">
        <v>38</v>
      </c>
      <c r="D25" s="402"/>
    </row>
    <row r="26" spans="1:4" ht="12.75" customHeight="1">
      <c r="A26" s="177" t="s">
        <v>21</v>
      </c>
      <c r="B26" s="180" t="s">
        <v>276</v>
      </c>
      <c r="C26" s="402" t="s">
        <v>38</v>
      </c>
      <c r="D26" s="402"/>
    </row>
    <row r="27" spans="1:4" ht="12.75" customHeight="1">
      <c r="A27" s="177" t="s">
        <v>277</v>
      </c>
      <c r="B27" s="180" t="s">
        <v>278</v>
      </c>
      <c r="C27" s="402" t="s">
        <v>38</v>
      </c>
      <c r="D27" s="402"/>
    </row>
    <row r="28" spans="1:4" ht="12.75" customHeight="1">
      <c r="A28" s="177" t="s">
        <v>279</v>
      </c>
      <c r="B28" s="180" t="s">
        <v>280</v>
      </c>
      <c r="C28" s="402" t="s">
        <v>38</v>
      </c>
      <c r="D28" s="402"/>
    </row>
  </sheetData>
  <sheetProtection selectLockedCells="1" selectUnlockedCells="1"/>
  <mergeCells count="26">
    <mergeCell ref="C27:D27"/>
    <mergeCell ref="C28:D28"/>
    <mergeCell ref="C20:D20"/>
    <mergeCell ref="A22:D22"/>
    <mergeCell ref="C23:D23"/>
    <mergeCell ref="C24:D24"/>
    <mergeCell ref="C25:D25"/>
    <mergeCell ref="C26:D26"/>
    <mergeCell ref="A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D1"/>
    <mergeCell ref="A2:E2"/>
    <mergeCell ref="A3:D3"/>
    <mergeCell ref="C5:D5"/>
    <mergeCell ref="A6:D6"/>
    <mergeCell ref="C7:D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3"/>
  <sheetViews>
    <sheetView zoomScalePageLayoutView="0" workbookViewId="0" topLeftCell="A64">
      <selection activeCell="A91" sqref="A91:IV93"/>
    </sheetView>
  </sheetViews>
  <sheetFormatPr defaultColWidth="9.00390625" defaultRowHeight="12.75"/>
  <cols>
    <col min="1" max="1" width="4.50390625" style="0" customWidth="1"/>
    <col min="2" max="2" width="60.50390625" style="0" customWidth="1"/>
    <col min="3" max="3" width="16.50390625" style="0" customWidth="1"/>
    <col min="4" max="4" width="36.50390625" style="0" customWidth="1"/>
    <col min="5" max="5" width="5.50390625" style="0" customWidth="1"/>
  </cols>
  <sheetData>
    <row r="1" spans="1:4" ht="15">
      <c r="A1" s="379" t="s">
        <v>281</v>
      </c>
      <c r="B1" s="379"/>
      <c r="C1" s="379"/>
      <c r="D1" s="379"/>
    </row>
    <row r="2" spans="1:4" ht="15">
      <c r="A2" s="389" t="s">
        <v>23</v>
      </c>
      <c r="B2" s="389"/>
      <c r="C2" s="389"/>
      <c r="D2" s="389"/>
    </row>
    <row r="3" spans="1:4" ht="12.75">
      <c r="A3" s="390" t="s">
        <v>24</v>
      </c>
      <c r="B3" s="390"/>
      <c r="C3" s="390"/>
      <c r="D3" s="390"/>
    </row>
    <row r="4" spans="1:4" ht="15">
      <c r="A4" s="13"/>
      <c r="B4" s="13"/>
      <c r="C4" s="13"/>
      <c r="D4" s="13"/>
    </row>
    <row r="5" spans="1:4" ht="51.75" customHeight="1">
      <c r="A5" s="120" t="s">
        <v>206</v>
      </c>
      <c r="B5" s="119" t="s">
        <v>207</v>
      </c>
      <c r="C5" s="119" t="s">
        <v>282</v>
      </c>
      <c r="D5" s="120" t="s">
        <v>283</v>
      </c>
    </row>
    <row r="6" spans="1:4" ht="19.5" customHeight="1">
      <c r="A6" s="185"/>
      <c r="B6" s="185" t="s">
        <v>284</v>
      </c>
      <c r="C6" s="185"/>
      <c r="D6" s="185"/>
    </row>
    <row r="7" spans="1:5" ht="15">
      <c r="A7" s="186"/>
      <c r="B7" s="187" t="s">
        <v>285</v>
      </c>
      <c r="C7" s="146" t="s">
        <v>286</v>
      </c>
      <c r="D7" s="52" t="s">
        <v>63</v>
      </c>
      <c r="E7" s="156"/>
    </row>
    <row r="8" spans="1:4" ht="15">
      <c r="A8" s="186"/>
      <c r="B8" s="187" t="s">
        <v>287</v>
      </c>
      <c r="C8" s="146" t="s">
        <v>288</v>
      </c>
      <c r="D8" s="188" t="s">
        <v>63</v>
      </c>
    </row>
    <row r="9" spans="1:4" ht="15">
      <c r="A9" s="186"/>
      <c r="B9" s="187" t="s">
        <v>289</v>
      </c>
      <c r="C9" s="146" t="s">
        <v>288</v>
      </c>
      <c r="D9" s="188" t="s">
        <v>63</v>
      </c>
    </row>
    <row r="10" spans="1:4" ht="15">
      <c r="A10" s="186"/>
      <c r="B10" s="187" t="s">
        <v>290</v>
      </c>
      <c r="C10" s="146" t="s">
        <v>288</v>
      </c>
      <c r="D10" s="189" t="s">
        <v>63</v>
      </c>
    </row>
    <row r="11" spans="1:4" ht="15">
      <c r="A11" s="186"/>
      <c r="B11" s="187" t="s">
        <v>291</v>
      </c>
      <c r="C11" s="146" t="s">
        <v>288</v>
      </c>
      <c r="D11" s="188" t="s">
        <v>63</v>
      </c>
    </row>
    <row r="12" spans="1:4" ht="15">
      <c r="A12" s="186"/>
      <c r="B12" s="187" t="s">
        <v>292</v>
      </c>
      <c r="C12" s="146" t="s">
        <v>288</v>
      </c>
      <c r="D12" s="52" t="s">
        <v>63</v>
      </c>
    </row>
    <row r="13" spans="1:4" ht="15">
      <c r="A13" s="186"/>
      <c r="B13" s="187" t="s">
        <v>293</v>
      </c>
      <c r="C13" s="146" t="s">
        <v>288</v>
      </c>
      <c r="D13" s="52" t="s">
        <v>63</v>
      </c>
    </row>
    <row r="14" spans="1:4" ht="15">
      <c r="A14" s="186"/>
      <c r="B14" s="187" t="s">
        <v>294</v>
      </c>
      <c r="C14" s="146"/>
      <c r="D14" s="52" t="s">
        <v>63</v>
      </c>
    </row>
    <row r="15" spans="1:4" ht="15">
      <c r="A15" s="186"/>
      <c r="B15" s="187" t="s">
        <v>295</v>
      </c>
      <c r="C15" s="146" t="s">
        <v>296</v>
      </c>
      <c r="D15" s="52" t="s">
        <v>63</v>
      </c>
    </row>
    <row r="16" spans="1:4" ht="15">
      <c r="A16" s="186"/>
      <c r="B16" s="187" t="s">
        <v>297</v>
      </c>
      <c r="C16" s="146" t="s">
        <v>286</v>
      </c>
      <c r="D16" s="52" t="s">
        <v>63</v>
      </c>
    </row>
    <row r="17" spans="1:4" ht="15">
      <c r="A17" s="186"/>
      <c r="B17" s="187" t="s">
        <v>298</v>
      </c>
      <c r="C17" s="146" t="s">
        <v>286</v>
      </c>
      <c r="D17" s="52" t="s">
        <v>63</v>
      </c>
    </row>
    <row r="18" spans="1:4" ht="15">
      <c r="A18" s="186"/>
      <c r="B18" s="187" t="s">
        <v>299</v>
      </c>
      <c r="C18" s="146" t="s">
        <v>286</v>
      </c>
      <c r="D18" s="52" t="s">
        <v>63</v>
      </c>
    </row>
    <row r="19" spans="1:4" ht="15">
      <c r="A19" s="186"/>
      <c r="B19" s="187" t="s">
        <v>300</v>
      </c>
      <c r="C19" s="146" t="s">
        <v>286</v>
      </c>
      <c r="D19" s="52" t="s">
        <v>63</v>
      </c>
    </row>
    <row r="20" spans="1:4" ht="15">
      <c r="A20" s="186"/>
      <c r="B20" s="187" t="s">
        <v>301</v>
      </c>
      <c r="C20" s="146" t="s">
        <v>286</v>
      </c>
      <c r="D20" s="52" t="s">
        <v>63</v>
      </c>
    </row>
    <row r="21" spans="1:4" ht="15">
      <c r="A21" s="186"/>
      <c r="B21" s="187" t="s">
        <v>302</v>
      </c>
      <c r="C21" s="146" t="s">
        <v>286</v>
      </c>
      <c r="D21" s="52" t="s">
        <v>63</v>
      </c>
    </row>
    <row r="22" spans="1:4" ht="30.75">
      <c r="A22" s="186"/>
      <c r="B22" s="66" t="s">
        <v>303</v>
      </c>
      <c r="C22" s="146" t="s">
        <v>286</v>
      </c>
      <c r="D22" s="52" t="s">
        <v>63</v>
      </c>
    </row>
    <row r="23" spans="1:4" ht="15">
      <c r="A23" s="186"/>
      <c r="B23" s="186" t="s">
        <v>304</v>
      </c>
      <c r="C23" s="146" t="s">
        <v>286</v>
      </c>
      <c r="D23" s="52" t="s">
        <v>63</v>
      </c>
    </row>
    <row r="24" spans="1:4" ht="15">
      <c r="A24" s="186"/>
      <c r="B24" s="186" t="s">
        <v>305</v>
      </c>
      <c r="C24" s="146" t="s">
        <v>286</v>
      </c>
      <c r="D24" s="52" t="s">
        <v>63</v>
      </c>
    </row>
    <row r="25" spans="1:4" ht="15">
      <c r="A25" s="186"/>
      <c r="B25" s="186" t="s">
        <v>306</v>
      </c>
      <c r="C25" s="146" t="s">
        <v>286</v>
      </c>
      <c r="D25" s="52" t="s">
        <v>63</v>
      </c>
    </row>
    <row r="26" spans="1:4" ht="15">
      <c r="A26" s="186"/>
      <c r="B26" s="186" t="s">
        <v>307</v>
      </c>
      <c r="C26" s="146" t="s">
        <v>286</v>
      </c>
      <c r="D26" s="52" t="s">
        <v>63</v>
      </c>
    </row>
    <row r="27" spans="1:4" ht="15">
      <c r="A27" s="186"/>
      <c r="B27" s="186" t="s">
        <v>308</v>
      </c>
      <c r="C27" s="146" t="s">
        <v>286</v>
      </c>
      <c r="D27" s="52" t="s">
        <v>63</v>
      </c>
    </row>
    <row r="28" spans="1:4" ht="15">
      <c r="A28" s="186"/>
      <c r="B28" s="186" t="s">
        <v>309</v>
      </c>
      <c r="C28" s="146" t="s">
        <v>286</v>
      </c>
      <c r="D28" s="52" t="s">
        <v>63</v>
      </c>
    </row>
    <row r="29" spans="1:4" ht="30.75">
      <c r="A29" s="190"/>
      <c r="B29" s="38" t="s">
        <v>310</v>
      </c>
      <c r="C29" s="146" t="s">
        <v>286</v>
      </c>
      <c r="D29" s="52" t="s">
        <v>63</v>
      </c>
    </row>
    <row r="30" spans="1:4" ht="30.75">
      <c r="A30" s="186"/>
      <c r="B30" s="38" t="s">
        <v>311</v>
      </c>
      <c r="C30" s="146" t="s">
        <v>286</v>
      </c>
      <c r="D30" s="52" t="s">
        <v>63</v>
      </c>
    </row>
    <row r="31" spans="1:4" ht="31.5" customHeight="1">
      <c r="A31" s="186"/>
      <c r="B31" s="38" t="s">
        <v>312</v>
      </c>
      <c r="C31" s="146" t="s">
        <v>286</v>
      </c>
      <c r="D31" s="52" t="s">
        <v>63</v>
      </c>
    </row>
    <row r="32" spans="1:4" ht="46.5">
      <c r="A32" s="190"/>
      <c r="B32" s="38" t="s">
        <v>313</v>
      </c>
      <c r="C32" s="146" t="s">
        <v>286</v>
      </c>
      <c r="D32" s="52" t="s">
        <v>63</v>
      </c>
    </row>
    <row r="33" spans="1:4" ht="30.75">
      <c r="A33" s="186"/>
      <c r="B33" s="38" t="s">
        <v>314</v>
      </c>
      <c r="C33" s="146" t="s">
        <v>286</v>
      </c>
      <c r="D33" s="52" t="s">
        <v>63</v>
      </c>
    </row>
    <row r="34" spans="1:4" ht="31.5" customHeight="1">
      <c r="A34" s="186"/>
      <c r="B34" s="38" t="s">
        <v>315</v>
      </c>
      <c r="C34" s="146" t="s">
        <v>286</v>
      </c>
      <c r="D34" s="52" t="s">
        <v>63</v>
      </c>
    </row>
    <row r="35" spans="1:4" ht="30.75">
      <c r="A35" s="186"/>
      <c r="B35" s="38" t="s">
        <v>316</v>
      </c>
      <c r="C35" s="146" t="s">
        <v>286</v>
      </c>
      <c r="D35" s="52" t="s">
        <v>63</v>
      </c>
    </row>
    <row r="36" spans="1:4" ht="46.5">
      <c r="A36" s="190"/>
      <c r="B36" s="38" t="s">
        <v>317</v>
      </c>
      <c r="C36" s="146" t="s">
        <v>286</v>
      </c>
      <c r="D36" s="52" t="s">
        <v>63</v>
      </c>
    </row>
    <row r="37" spans="1:4" ht="46.5">
      <c r="A37" s="186"/>
      <c r="B37" s="38" t="s">
        <v>318</v>
      </c>
      <c r="C37" s="146" t="s">
        <v>286</v>
      </c>
      <c r="D37" s="52" t="s">
        <v>63</v>
      </c>
    </row>
    <row r="38" spans="1:4" ht="46.5">
      <c r="A38" s="186"/>
      <c r="B38" s="38" t="s">
        <v>319</v>
      </c>
      <c r="C38" s="146" t="s">
        <v>286</v>
      </c>
      <c r="D38" s="52" t="s">
        <v>63</v>
      </c>
    </row>
    <row r="39" spans="1:4" ht="45" customHeight="1">
      <c r="A39" s="186"/>
      <c r="B39" s="38" t="s">
        <v>320</v>
      </c>
      <c r="C39" s="191" t="s">
        <v>321</v>
      </c>
      <c r="D39" s="52" t="s">
        <v>63</v>
      </c>
    </row>
    <row r="40" spans="1:4" ht="15">
      <c r="A40" s="186"/>
      <c r="B40" s="187" t="s">
        <v>322</v>
      </c>
      <c r="C40" s="146" t="s">
        <v>286</v>
      </c>
      <c r="D40" s="52" t="s">
        <v>63</v>
      </c>
    </row>
    <row r="41" spans="1:4" ht="15">
      <c r="A41" s="186"/>
      <c r="B41" s="38" t="s">
        <v>323</v>
      </c>
      <c r="C41" s="146" t="s">
        <v>324</v>
      </c>
      <c r="D41" s="52" t="s">
        <v>63</v>
      </c>
    </row>
    <row r="42" spans="1:4" ht="30.75">
      <c r="A42" s="186"/>
      <c r="B42" s="38" t="s">
        <v>325</v>
      </c>
      <c r="C42" s="146" t="s">
        <v>286</v>
      </c>
      <c r="D42" s="52" t="s">
        <v>63</v>
      </c>
    </row>
    <row r="43" spans="1:4" ht="30.75">
      <c r="A43" s="190"/>
      <c r="B43" s="38" t="s">
        <v>326</v>
      </c>
      <c r="C43" s="146" t="s">
        <v>286</v>
      </c>
      <c r="D43" s="52" t="s">
        <v>63</v>
      </c>
    </row>
    <row r="44" spans="1:4" ht="30.75">
      <c r="A44" s="186"/>
      <c r="B44" s="38" t="s">
        <v>327</v>
      </c>
      <c r="C44" s="146" t="s">
        <v>286</v>
      </c>
      <c r="D44" s="52" t="s">
        <v>63</v>
      </c>
    </row>
    <row r="45" spans="1:4" ht="30.75">
      <c r="A45" s="186"/>
      <c r="B45" s="38" t="s">
        <v>328</v>
      </c>
      <c r="C45" s="146" t="s">
        <v>286</v>
      </c>
      <c r="D45" s="52" t="s">
        <v>63</v>
      </c>
    </row>
    <row r="46" spans="1:4" ht="15">
      <c r="A46" s="186"/>
      <c r="B46" s="187" t="s">
        <v>329</v>
      </c>
      <c r="C46" s="146" t="s">
        <v>286</v>
      </c>
      <c r="D46" s="52" t="s">
        <v>63</v>
      </c>
    </row>
    <row r="47" spans="1:4" ht="15">
      <c r="A47" s="186"/>
      <c r="B47" s="187" t="s">
        <v>330</v>
      </c>
      <c r="C47" s="146" t="s">
        <v>286</v>
      </c>
      <c r="D47" s="52" t="s">
        <v>63</v>
      </c>
    </row>
    <row r="48" spans="1:4" ht="30.75">
      <c r="A48" s="186"/>
      <c r="B48" s="38" t="s">
        <v>331</v>
      </c>
      <c r="C48" s="146" t="s">
        <v>286</v>
      </c>
      <c r="D48" s="52" t="s">
        <v>63</v>
      </c>
    </row>
    <row r="49" spans="1:4" ht="15">
      <c r="A49" s="186"/>
      <c r="B49" s="187" t="s">
        <v>332</v>
      </c>
      <c r="C49" s="146" t="s">
        <v>286</v>
      </c>
      <c r="D49" s="52" t="s">
        <v>63</v>
      </c>
    </row>
    <row r="50" spans="1:4" ht="15">
      <c r="A50" s="190"/>
      <c r="B50" s="38" t="s">
        <v>333</v>
      </c>
      <c r="C50" s="146" t="s">
        <v>286</v>
      </c>
      <c r="D50" s="52" t="s">
        <v>63</v>
      </c>
    </row>
    <row r="51" spans="1:4" ht="15">
      <c r="A51" s="186"/>
      <c r="B51" s="187" t="s">
        <v>334</v>
      </c>
      <c r="C51" s="146"/>
      <c r="D51" s="52" t="s">
        <v>63</v>
      </c>
    </row>
    <row r="52" spans="1:4" ht="15">
      <c r="A52" s="186"/>
      <c r="B52" s="187" t="s">
        <v>335</v>
      </c>
      <c r="C52" s="146" t="s">
        <v>336</v>
      </c>
      <c r="D52" s="52" t="s">
        <v>63</v>
      </c>
    </row>
    <row r="53" spans="1:4" ht="15">
      <c r="A53" s="190"/>
      <c r="B53" s="187" t="s">
        <v>337</v>
      </c>
      <c r="C53" s="146" t="s">
        <v>336</v>
      </c>
      <c r="D53" s="52" t="s">
        <v>63</v>
      </c>
    </row>
    <row r="54" spans="1:4" ht="15">
      <c r="A54" s="190"/>
      <c r="B54" s="187" t="s">
        <v>338</v>
      </c>
      <c r="C54" s="146" t="s">
        <v>336</v>
      </c>
      <c r="D54" s="52" t="s">
        <v>63</v>
      </c>
    </row>
    <row r="55" spans="1:4" ht="15">
      <c r="A55" s="186"/>
      <c r="B55" s="187" t="s">
        <v>339</v>
      </c>
      <c r="C55" s="146" t="s">
        <v>340</v>
      </c>
      <c r="D55" s="52" t="s">
        <v>63</v>
      </c>
    </row>
    <row r="56" spans="1:4" ht="15">
      <c r="A56" s="186"/>
      <c r="B56" s="187" t="s">
        <v>341</v>
      </c>
      <c r="C56" s="146"/>
      <c r="D56" s="52" t="s">
        <v>63</v>
      </c>
    </row>
    <row r="57" spans="1:4" ht="15">
      <c r="A57" s="186"/>
      <c r="B57" s="187" t="s">
        <v>342</v>
      </c>
      <c r="C57" s="146" t="s">
        <v>336</v>
      </c>
      <c r="D57" s="52" t="s">
        <v>63</v>
      </c>
    </row>
    <row r="58" spans="1:4" ht="15">
      <c r="A58" s="186"/>
      <c r="B58" s="187" t="s">
        <v>337</v>
      </c>
      <c r="C58" s="146" t="s">
        <v>336</v>
      </c>
      <c r="D58" s="52" t="s">
        <v>63</v>
      </c>
    </row>
    <row r="59" spans="1:4" ht="15">
      <c r="A59" s="186"/>
      <c r="B59" s="187" t="s">
        <v>285</v>
      </c>
      <c r="C59" s="146"/>
      <c r="D59" s="52" t="s">
        <v>63</v>
      </c>
    </row>
    <row r="60" spans="1:4" ht="15">
      <c r="A60" s="186"/>
      <c r="B60" s="187" t="s">
        <v>343</v>
      </c>
      <c r="C60" s="146" t="s">
        <v>286</v>
      </c>
      <c r="D60" s="52" t="s">
        <v>63</v>
      </c>
    </row>
    <row r="61" spans="1:4" ht="15">
      <c r="A61" s="186"/>
      <c r="B61" s="187" t="s">
        <v>344</v>
      </c>
      <c r="C61" s="146" t="s">
        <v>286</v>
      </c>
      <c r="D61" s="52" t="s">
        <v>63</v>
      </c>
    </row>
    <row r="62" spans="1:4" ht="15">
      <c r="A62" s="186"/>
      <c r="B62" s="187" t="s">
        <v>345</v>
      </c>
      <c r="C62" s="146" t="s">
        <v>286</v>
      </c>
      <c r="D62" s="52" t="s">
        <v>63</v>
      </c>
    </row>
    <row r="63" spans="1:4" ht="15">
      <c r="A63" s="186"/>
      <c r="B63" s="187" t="s">
        <v>346</v>
      </c>
      <c r="C63" s="146" t="s">
        <v>286</v>
      </c>
      <c r="D63" s="52" t="s">
        <v>63</v>
      </c>
    </row>
    <row r="64" spans="1:4" ht="14.25" customHeight="1">
      <c r="A64" s="186"/>
      <c r="B64" s="38" t="s">
        <v>347</v>
      </c>
      <c r="C64" s="146" t="s">
        <v>286</v>
      </c>
      <c r="D64" s="52" t="s">
        <v>63</v>
      </c>
    </row>
    <row r="65" spans="1:4" ht="30.75">
      <c r="A65" s="186"/>
      <c r="B65" s="38" t="s">
        <v>348</v>
      </c>
      <c r="C65" s="146" t="s">
        <v>286</v>
      </c>
      <c r="D65" s="52" t="s">
        <v>63</v>
      </c>
    </row>
    <row r="66" spans="1:4" ht="30.75">
      <c r="A66" s="186"/>
      <c r="B66" s="38" t="s">
        <v>349</v>
      </c>
      <c r="C66" s="146" t="s">
        <v>286</v>
      </c>
      <c r="D66" s="52" t="s">
        <v>63</v>
      </c>
    </row>
    <row r="67" spans="1:4" ht="15">
      <c r="A67" s="192"/>
      <c r="B67" s="185" t="s">
        <v>350</v>
      </c>
      <c r="C67" s="185"/>
      <c r="D67" s="185"/>
    </row>
    <row r="68" spans="1:4" ht="14.25" customHeight="1">
      <c r="A68" s="186"/>
      <c r="B68" s="187" t="s">
        <v>351</v>
      </c>
      <c r="C68" s="146" t="s">
        <v>286</v>
      </c>
      <c r="D68" s="52">
        <v>23</v>
      </c>
    </row>
    <row r="69" spans="1:4" ht="15">
      <c r="A69" s="186"/>
      <c r="B69" s="187" t="s">
        <v>352</v>
      </c>
      <c r="C69" s="146" t="s">
        <v>288</v>
      </c>
      <c r="D69" s="52">
        <v>306.4</v>
      </c>
    </row>
    <row r="70" spans="1:4" ht="15">
      <c r="A70" s="186"/>
      <c r="B70" s="187" t="s">
        <v>82</v>
      </c>
      <c r="C70" s="146"/>
      <c r="D70" s="52"/>
    </row>
    <row r="71" spans="1:4" ht="15">
      <c r="A71" s="186"/>
      <c r="B71" s="187" t="s">
        <v>353</v>
      </c>
      <c r="C71" s="146" t="s">
        <v>286</v>
      </c>
      <c r="D71" s="52">
        <v>1</v>
      </c>
    </row>
    <row r="72" spans="1:4" ht="15">
      <c r="A72" s="186"/>
      <c r="B72" s="187" t="s">
        <v>352</v>
      </c>
      <c r="C72" s="146" t="s">
        <v>288</v>
      </c>
      <c r="D72" s="52">
        <v>5.9</v>
      </c>
    </row>
    <row r="73" spans="1:4" ht="15">
      <c r="A73" s="186"/>
      <c r="B73" s="187" t="s">
        <v>354</v>
      </c>
      <c r="C73" s="146" t="s">
        <v>286</v>
      </c>
      <c r="D73" s="52" t="s">
        <v>63</v>
      </c>
    </row>
    <row r="74" spans="1:4" ht="15">
      <c r="A74" s="186"/>
      <c r="B74" s="187" t="s">
        <v>355</v>
      </c>
      <c r="C74" s="146" t="s">
        <v>288</v>
      </c>
      <c r="D74" s="52" t="s">
        <v>63</v>
      </c>
    </row>
    <row r="75" spans="1:4" ht="15">
      <c r="A75" s="186"/>
      <c r="B75" s="187" t="s">
        <v>356</v>
      </c>
      <c r="C75" s="146" t="s">
        <v>286</v>
      </c>
      <c r="D75" s="52" t="s">
        <v>63</v>
      </c>
    </row>
    <row r="76" spans="1:4" ht="15">
      <c r="A76" s="186"/>
      <c r="B76" s="187" t="s">
        <v>357</v>
      </c>
      <c r="C76" s="146" t="s">
        <v>288</v>
      </c>
      <c r="D76" s="52" t="s">
        <v>63</v>
      </c>
    </row>
    <row r="77" spans="1:4" ht="15">
      <c r="A77" s="186"/>
      <c r="B77" s="187" t="s">
        <v>358</v>
      </c>
      <c r="C77" s="146" t="s">
        <v>286</v>
      </c>
      <c r="D77" s="52">
        <v>11</v>
      </c>
    </row>
    <row r="78" spans="1:4" ht="15">
      <c r="A78" s="186"/>
      <c r="B78" s="187" t="s">
        <v>352</v>
      </c>
      <c r="C78" s="146" t="s">
        <v>288</v>
      </c>
      <c r="D78" s="52">
        <v>186.8</v>
      </c>
    </row>
    <row r="79" spans="1:4" ht="15">
      <c r="A79" s="193"/>
      <c r="B79" s="145" t="s">
        <v>359</v>
      </c>
      <c r="C79" s="133"/>
      <c r="D79" s="133" t="s">
        <v>63</v>
      </c>
    </row>
    <row r="80" spans="1:4" ht="15">
      <c r="A80" s="186"/>
      <c r="B80" s="187" t="s">
        <v>360</v>
      </c>
      <c r="C80" s="146" t="s">
        <v>286</v>
      </c>
      <c r="D80" s="52" t="s">
        <v>63</v>
      </c>
    </row>
    <row r="81" spans="1:4" ht="15">
      <c r="A81" s="186"/>
      <c r="B81" s="187" t="s">
        <v>352</v>
      </c>
      <c r="C81" s="146" t="s">
        <v>288</v>
      </c>
      <c r="D81" s="52" t="s">
        <v>63</v>
      </c>
    </row>
    <row r="82" spans="1:4" ht="15">
      <c r="A82" s="186"/>
      <c r="B82" s="187" t="s">
        <v>361</v>
      </c>
      <c r="C82" s="146" t="s">
        <v>286</v>
      </c>
      <c r="D82" s="52" t="s">
        <v>63</v>
      </c>
    </row>
    <row r="83" spans="1:4" ht="15">
      <c r="A83" s="186"/>
      <c r="B83" s="187" t="s">
        <v>352</v>
      </c>
      <c r="C83" s="146" t="s">
        <v>288</v>
      </c>
      <c r="D83" s="52" t="s">
        <v>63</v>
      </c>
    </row>
    <row r="84" spans="1:4" s="194" customFormat="1" ht="15">
      <c r="A84" s="186"/>
      <c r="B84" s="187" t="s">
        <v>362</v>
      </c>
      <c r="C84" s="146" t="s">
        <v>286</v>
      </c>
      <c r="D84" s="52">
        <v>11</v>
      </c>
    </row>
    <row r="85" spans="1:4" ht="15">
      <c r="A85" s="186"/>
      <c r="B85" s="187" t="s">
        <v>352</v>
      </c>
      <c r="C85" s="146" t="s">
        <v>288</v>
      </c>
      <c r="D85" s="52">
        <v>113.9</v>
      </c>
    </row>
    <row r="86" spans="1:4" ht="15">
      <c r="A86" s="192"/>
      <c r="B86" s="185" t="s">
        <v>363</v>
      </c>
      <c r="C86" s="185"/>
      <c r="D86" s="185"/>
    </row>
    <row r="87" spans="1:4" ht="15">
      <c r="A87" s="186"/>
      <c r="B87" s="187" t="s">
        <v>364</v>
      </c>
      <c r="C87" s="146" t="s">
        <v>286</v>
      </c>
      <c r="D87" s="52" t="s">
        <v>63</v>
      </c>
    </row>
    <row r="88" spans="1:4" ht="15">
      <c r="A88" s="186"/>
      <c r="B88" s="187" t="s">
        <v>352</v>
      </c>
      <c r="C88" s="146" t="s">
        <v>288</v>
      </c>
      <c r="D88" s="188" t="s">
        <v>63</v>
      </c>
    </row>
    <row r="89" spans="1:4" ht="12.75">
      <c r="A89" s="154"/>
      <c r="B89" s="195"/>
      <c r="C89" s="154"/>
      <c r="D89" s="154"/>
    </row>
    <row r="91" s="196" customFormat="1" ht="11.25">
      <c r="A91" s="196" t="s">
        <v>365</v>
      </c>
    </row>
    <row r="92" s="196" customFormat="1" ht="11.25">
      <c r="A92" s="196" t="s">
        <v>682</v>
      </c>
    </row>
    <row r="93" s="196" customFormat="1" ht="11.25">
      <c r="A93" s="196" t="s">
        <v>681</v>
      </c>
    </row>
    <row r="94" s="196" customFormat="1" ht="11.25"/>
    <row r="95" s="196" customFormat="1" ht="11.25"/>
  </sheetData>
  <sheetProtection selectLockedCells="1" selectUnlockedCells="1"/>
  <mergeCells count="3">
    <mergeCell ref="A1:D1"/>
    <mergeCell ref="A2:D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50390625" style="0" customWidth="1"/>
    <col min="2" max="2" width="56.50390625" style="0" customWidth="1"/>
    <col min="3" max="3" width="16.50390625" style="0" customWidth="1"/>
    <col min="4" max="4" width="17.50390625" style="0" customWidth="1"/>
  </cols>
  <sheetData>
    <row r="1" spans="1:4" ht="15">
      <c r="A1" s="379" t="s">
        <v>366</v>
      </c>
      <c r="B1" s="379"/>
      <c r="C1" s="379"/>
      <c r="D1" s="379"/>
    </row>
    <row r="2" spans="1:5" ht="15">
      <c r="A2" s="389" t="s">
        <v>23</v>
      </c>
      <c r="B2" s="389"/>
      <c r="C2" s="389"/>
      <c r="D2" s="389"/>
      <c r="E2" s="389"/>
    </row>
    <row r="3" spans="1:4" ht="12.75">
      <c r="A3" s="390" t="s">
        <v>24</v>
      </c>
      <c r="B3" s="390"/>
      <c r="C3" s="390"/>
      <c r="D3" s="390"/>
    </row>
    <row r="4" spans="1:4" ht="15">
      <c r="A4" s="13"/>
      <c r="B4" s="13"/>
      <c r="C4" s="13"/>
      <c r="D4" s="13"/>
    </row>
    <row r="5" spans="1:4" ht="30.75">
      <c r="A5" s="197" t="s">
        <v>206</v>
      </c>
      <c r="B5" s="197" t="s">
        <v>207</v>
      </c>
      <c r="C5" s="197" t="s">
        <v>282</v>
      </c>
      <c r="D5" s="176" t="s">
        <v>260</v>
      </c>
    </row>
    <row r="6" spans="1:4" ht="15">
      <c r="A6" s="185"/>
      <c r="B6" s="185" t="s">
        <v>367</v>
      </c>
      <c r="C6" s="185"/>
      <c r="D6" s="185"/>
    </row>
    <row r="7" spans="1:4" ht="15">
      <c r="A7" s="135"/>
      <c r="B7" s="31" t="s">
        <v>368</v>
      </c>
      <c r="C7" s="135" t="s">
        <v>369</v>
      </c>
      <c r="D7" s="42">
        <v>59</v>
      </c>
    </row>
    <row r="8" spans="1:4" ht="15">
      <c r="A8" s="135"/>
      <c r="B8" s="31" t="s">
        <v>370</v>
      </c>
      <c r="C8" s="135" t="s">
        <v>369</v>
      </c>
      <c r="D8" s="42">
        <v>4</v>
      </c>
    </row>
    <row r="9" spans="1:4" ht="15">
      <c r="A9" s="135"/>
      <c r="B9" s="31" t="s">
        <v>371</v>
      </c>
      <c r="C9" s="135" t="s">
        <v>369</v>
      </c>
      <c r="D9" s="42">
        <v>4</v>
      </c>
    </row>
    <row r="10" spans="1:4" ht="15">
      <c r="A10" s="135"/>
      <c r="B10" s="31" t="s">
        <v>372</v>
      </c>
      <c r="C10" s="135" t="s">
        <v>373</v>
      </c>
      <c r="D10" s="42">
        <v>1</v>
      </c>
    </row>
    <row r="11" spans="1:4" ht="15">
      <c r="A11" s="135"/>
      <c r="B11" s="31" t="s">
        <v>374</v>
      </c>
      <c r="C11" s="135" t="s">
        <v>369</v>
      </c>
      <c r="D11" s="42">
        <v>36</v>
      </c>
    </row>
    <row r="12" spans="1:4" ht="15">
      <c r="A12" s="135"/>
      <c r="B12" s="31" t="s">
        <v>375</v>
      </c>
      <c r="C12" s="135" t="s">
        <v>373</v>
      </c>
      <c r="D12" s="42">
        <v>1</v>
      </c>
    </row>
    <row r="13" spans="1:4" ht="30.75">
      <c r="A13" s="135"/>
      <c r="B13" s="180" t="s">
        <v>376</v>
      </c>
      <c r="C13" s="198" t="s">
        <v>377</v>
      </c>
      <c r="D13" s="42">
        <v>1</v>
      </c>
    </row>
    <row r="14" spans="1:4" ht="15">
      <c r="A14" s="135"/>
      <c r="B14" s="31" t="s">
        <v>378</v>
      </c>
      <c r="C14" s="135" t="s">
        <v>379</v>
      </c>
      <c r="D14" s="42">
        <v>8</v>
      </c>
    </row>
    <row r="15" spans="1:4" ht="15">
      <c r="A15" s="135"/>
      <c r="B15" s="31" t="s">
        <v>380</v>
      </c>
      <c r="C15" s="135" t="s">
        <v>369</v>
      </c>
      <c r="D15" s="42">
        <v>4</v>
      </c>
    </row>
    <row r="16" spans="1:4" ht="15">
      <c r="A16" s="185"/>
      <c r="B16" s="185" t="s">
        <v>381</v>
      </c>
      <c r="C16" s="185"/>
      <c r="D16" s="185"/>
    </row>
    <row r="17" spans="1:4" ht="15">
      <c r="A17" s="135"/>
      <c r="B17" s="31" t="s">
        <v>382</v>
      </c>
      <c r="C17" s="135" t="s">
        <v>369</v>
      </c>
      <c r="D17" s="42">
        <v>1</v>
      </c>
    </row>
    <row r="18" spans="1:4" ht="15">
      <c r="A18" s="135"/>
      <c r="B18" s="31" t="s">
        <v>383</v>
      </c>
      <c r="C18" s="135" t="s">
        <v>369</v>
      </c>
      <c r="D18" s="60">
        <v>4</v>
      </c>
    </row>
    <row r="19" spans="1:4" ht="15">
      <c r="A19" s="135"/>
      <c r="B19" s="31" t="s">
        <v>384</v>
      </c>
      <c r="C19" s="135" t="s">
        <v>369</v>
      </c>
      <c r="D19" s="42">
        <v>0</v>
      </c>
    </row>
    <row r="20" spans="1:4" ht="15">
      <c r="A20" s="135"/>
      <c r="B20" s="31" t="s">
        <v>385</v>
      </c>
      <c r="C20" s="135" t="s">
        <v>369</v>
      </c>
      <c r="D20" s="42">
        <v>0</v>
      </c>
    </row>
    <row r="21" spans="1:4" ht="15">
      <c r="A21" s="199"/>
      <c r="B21" s="200"/>
      <c r="C21" s="135" t="s">
        <v>369</v>
      </c>
      <c r="D21" s="42"/>
    </row>
    <row r="22" spans="1:4" ht="15">
      <c r="A22" s="185"/>
      <c r="B22" s="185" t="s">
        <v>386</v>
      </c>
      <c r="C22" s="185"/>
      <c r="D22" s="185"/>
    </row>
    <row r="23" spans="1:4" ht="15">
      <c r="A23" s="135"/>
      <c r="B23" s="31" t="s">
        <v>255</v>
      </c>
      <c r="C23" s="135" t="s">
        <v>369</v>
      </c>
      <c r="D23" s="42">
        <v>0</v>
      </c>
    </row>
    <row r="24" spans="1:4" ht="15">
      <c r="A24" s="201"/>
      <c r="B24" s="48" t="s">
        <v>387</v>
      </c>
      <c r="C24" s="201"/>
      <c r="D24" s="201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A29"/>
  <sheetViews>
    <sheetView tabSelected="1" zoomScalePageLayoutView="0" workbookViewId="0" topLeftCell="A1">
      <pane xSplit="2" ySplit="5" topLeftCell="R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V22" sqref="V22"/>
    </sheetView>
  </sheetViews>
  <sheetFormatPr defaultColWidth="9.50390625" defaultRowHeight="12.75"/>
  <cols>
    <col min="1" max="1" width="4.00390625" style="202" customWidth="1"/>
    <col min="2" max="2" width="29.00390625" style="202" customWidth="1"/>
    <col min="3" max="3" width="9.50390625" style="202" customWidth="1"/>
    <col min="4" max="9" width="13.50390625" style="202" customWidth="1"/>
    <col min="10" max="10" width="10.50390625" style="202" customWidth="1"/>
    <col min="11" max="11" width="14.00390625" style="202" customWidth="1"/>
    <col min="12" max="12" width="10.50390625" style="202" customWidth="1"/>
    <col min="13" max="13" width="14.50390625" style="202" customWidth="1"/>
    <col min="14" max="14" width="10.50390625" style="202" customWidth="1"/>
    <col min="15" max="15" width="14.50390625" style="202" customWidth="1"/>
    <col min="16" max="17" width="13.50390625" style="202" customWidth="1"/>
    <col min="18" max="18" width="13.375" style="202" customWidth="1"/>
    <col min="19" max="19" width="13.50390625" style="202" customWidth="1"/>
    <col min="20" max="20" width="12.50390625" style="202" customWidth="1"/>
    <col min="21" max="21" width="13.50390625" style="202" customWidth="1"/>
    <col min="22" max="22" width="11.50390625" style="202" customWidth="1"/>
    <col min="23" max="23" width="13.50390625" style="202" customWidth="1"/>
    <col min="24" max="24" width="12.375" style="202" customWidth="1"/>
    <col min="25" max="25" width="14.125" style="202" customWidth="1"/>
    <col min="26" max="26" width="12.375" style="202" customWidth="1"/>
    <col min="27" max="27" width="14.125" style="202" customWidth="1"/>
    <col min="28" max="16384" width="9.50390625" style="202" customWidth="1"/>
  </cols>
  <sheetData>
    <row r="1" spans="1:4" ht="15">
      <c r="A1" s="379" t="s">
        <v>16</v>
      </c>
      <c r="B1" s="379"/>
      <c r="C1" s="379"/>
      <c r="D1" s="379"/>
    </row>
    <row r="2" spans="1:6" ht="15">
      <c r="A2" s="389" t="s">
        <v>23</v>
      </c>
      <c r="B2" s="389"/>
      <c r="C2" s="389"/>
      <c r="D2" s="389"/>
      <c r="E2" s="389"/>
      <c r="F2" s="389"/>
    </row>
    <row r="3" spans="1:4" ht="12.75">
      <c r="A3" s="380" t="s">
        <v>24</v>
      </c>
      <c r="B3" s="380"/>
      <c r="C3" s="380"/>
      <c r="D3" s="380"/>
    </row>
    <row r="4" spans="1:4" ht="15">
      <c r="A4" s="13"/>
      <c r="B4" s="13"/>
      <c r="C4" s="13"/>
      <c r="D4" s="13"/>
    </row>
    <row r="5" spans="1:27" s="175" customFormat="1" ht="51.75" customHeight="1">
      <c r="A5" s="120" t="s">
        <v>206</v>
      </c>
      <c r="B5" s="120" t="s">
        <v>207</v>
      </c>
      <c r="C5" s="120" t="s">
        <v>388</v>
      </c>
      <c r="D5" s="120" t="s">
        <v>389</v>
      </c>
      <c r="E5" s="120" t="s">
        <v>390</v>
      </c>
      <c r="F5" s="120" t="s">
        <v>391</v>
      </c>
      <c r="G5" s="120" t="s">
        <v>392</v>
      </c>
      <c r="H5" s="63" t="s">
        <v>393</v>
      </c>
      <c r="I5" s="120" t="s">
        <v>394</v>
      </c>
      <c r="J5" s="63" t="s">
        <v>395</v>
      </c>
      <c r="K5" s="120" t="s">
        <v>396</v>
      </c>
      <c r="L5" s="63" t="s">
        <v>397</v>
      </c>
      <c r="M5" s="120" t="s">
        <v>398</v>
      </c>
      <c r="N5" s="63" t="s">
        <v>399</v>
      </c>
      <c r="O5" s="120" t="s">
        <v>400</v>
      </c>
      <c r="P5" s="203" t="s">
        <v>401</v>
      </c>
      <c r="Q5" s="120" t="s">
        <v>402</v>
      </c>
      <c r="R5" s="203" t="s">
        <v>403</v>
      </c>
      <c r="S5" s="120" t="s">
        <v>404</v>
      </c>
      <c r="T5" s="204" t="s">
        <v>405</v>
      </c>
      <c r="U5" s="205" t="s">
        <v>406</v>
      </c>
      <c r="V5" s="204" t="s">
        <v>407</v>
      </c>
      <c r="W5" s="205" t="s">
        <v>408</v>
      </c>
      <c r="X5" s="204" t="s">
        <v>671</v>
      </c>
      <c r="Y5" s="360" t="s">
        <v>672</v>
      </c>
      <c r="Z5" s="361" t="s">
        <v>683</v>
      </c>
      <c r="AA5" s="364" t="s">
        <v>684</v>
      </c>
    </row>
    <row r="6" spans="1:27" s="13" customFormat="1" ht="19.5" customHeight="1">
      <c r="A6" s="185"/>
      <c r="B6" s="185" t="s">
        <v>409</v>
      </c>
      <c r="C6" s="185"/>
      <c r="D6" s="185"/>
      <c r="E6" s="185"/>
      <c r="F6" s="185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208"/>
      <c r="R6" s="207"/>
      <c r="S6" s="209"/>
      <c r="T6" s="206"/>
      <c r="U6" s="206"/>
      <c r="V6" s="206"/>
      <c r="W6" s="206"/>
      <c r="X6" s="206"/>
      <c r="Y6" s="206"/>
      <c r="Z6" s="362"/>
      <c r="AA6" s="365"/>
    </row>
    <row r="7" spans="1:27" s="13" customFormat="1" ht="15">
      <c r="A7" s="135">
        <v>1</v>
      </c>
      <c r="B7" s="210" t="s">
        <v>410</v>
      </c>
      <c r="C7" s="135" t="s">
        <v>411</v>
      </c>
      <c r="D7" s="211">
        <v>31.77</v>
      </c>
      <c r="E7" s="211">
        <v>236.6</v>
      </c>
      <c r="F7" s="211">
        <v>204.25</v>
      </c>
      <c r="G7" s="212">
        <v>149.87</v>
      </c>
      <c r="H7" s="212">
        <v>350</v>
      </c>
      <c r="I7" s="213">
        <v>347.79</v>
      </c>
      <c r="J7" s="212">
        <f>96.53+56.57</f>
        <v>153.1</v>
      </c>
      <c r="K7" s="213">
        <v>153.1</v>
      </c>
      <c r="L7" s="212">
        <f>96.53+56.57</f>
        <v>153.1</v>
      </c>
      <c r="M7" s="213">
        <v>221.9</v>
      </c>
      <c r="N7" s="212">
        <v>221.9</v>
      </c>
      <c r="O7" s="212">
        <v>275.65</v>
      </c>
      <c r="P7" s="214">
        <v>348</v>
      </c>
      <c r="Q7" s="213">
        <v>203.54</v>
      </c>
      <c r="R7" s="214">
        <v>348</v>
      </c>
      <c r="S7" s="215">
        <v>191.17</v>
      </c>
      <c r="T7" s="214">
        <v>348</v>
      </c>
      <c r="U7" s="31">
        <v>174.37</v>
      </c>
      <c r="V7" s="214">
        <v>348</v>
      </c>
      <c r="W7" s="31">
        <v>192.06</v>
      </c>
      <c r="X7" s="215">
        <v>348</v>
      </c>
      <c r="Y7" s="270">
        <v>204.93</v>
      </c>
      <c r="Z7" s="363">
        <v>270</v>
      </c>
      <c r="AA7" s="366">
        <v>127.01</v>
      </c>
    </row>
    <row r="8" spans="1:27" s="13" customFormat="1" ht="15">
      <c r="A8" s="135">
        <v>2</v>
      </c>
      <c r="B8" s="210" t="s">
        <v>412</v>
      </c>
      <c r="C8" s="135" t="s">
        <v>411</v>
      </c>
      <c r="D8" s="211">
        <v>31.77</v>
      </c>
      <c r="E8" s="211">
        <v>236.6</v>
      </c>
      <c r="F8" s="211">
        <v>204.25</v>
      </c>
      <c r="G8" s="213">
        <v>149.87</v>
      </c>
      <c r="H8" s="213">
        <v>350</v>
      </c>
      <c r="I8" s="213">
        <v>347.79</v>
      </c>
      <c r="J8" s="213">
        <f>+J7</f>
        <v>153.1</v>
      </c>
      <c r="K8" s="213">
        <v>153.1</v>
      </c>
      <c r="L8" s="213">
        <f>+L7</f>
        <v>153.1</v>
      </c>
      <c r="M8" s="213">
        <v>186.54</v>
      </c>
      <c r="N8" s="213">
        <v>186.54</v>
      </c>
      <c r="O8" s="213">
        <v>247.26</v>
      </c>
      <c r="P8" s="214">
        <v>348</v>
      </c>
      <c r="Q8" s="213">
        <v>203.54</v>
      </c>
      <c r="R8" s="214">
        <v>348</v>
      </c>
      <c r="S8" s="215">
        <v>191.17</v>
      </c>
      <c r="T8" s="214">
        <v>348</v>
      </c>
      <c r="U8" s="31">
        <v>174.37</v>
      </c>
      <c r="V8" s="214">
        <v>348</v>
      </c>
      <c r="W8" s="31">
        <v>192.06</v>
      </c>
      <c r="X8" s="215">
        <v>348</v>
      </c>
      <c r="Y8" s="270">
        <v>204.93</v>
      </c>
      <c r="Z8" s="363">
        <v>270</v>
      </c>
      <c r="AA8" s="366">
        <v>125.11</v>
      </c>
    </row>
    <row r="9" spans="1:27" s="13" customFormat="1" ht="15">
      <c r="A9" s="135">
        <v>3</v>
      </c>
      <c r="B9" s="210" t="s">
        <v>413</v>
      </c>
      <c r="C9" s="135" t="s">
        <v>414</v>
      </c>
      <c r="D9" s="211">
        <v>0</v>
      </c>
      <c r="E9" s="211">
        <v>0</v>
      </c>
      <c r="F9" s="211">
        <v>0</v>
      </c>
      <c r="G9" s="213">
        <v>0</v>
      </c>
      <c r="H9" s="405">
        <v>170</v>
      </c>
      <c r="I9" s="213">
        <v>2.89</v>
      </c>
      <c r="J9" s="405">
        <v>152.43</v>
      </c>
      <c r="K9" s="212">
        <v>2.42</v>
      </c>
      <c r="L9" s="405">
        <v>164.9</v>
      </c>
      <c r="M9" s="212">
        <v>1.42</v>
      </c>
      <c r="N9" s="405">
        <v>164.9</v>
      </c>
      <c r="O9" s="216">
        <v>1.5</v>
      </c>
      <c r="P9" s="406">
        <v>164.9</v>
      </c>
      <c r="Q9" s="213">
        <v>2.35</v>
      </c>
      <c r="R9" s="405">
        <v>143.9</v>
      </c>
      <c r="S9" s="214">
        <v>2.3</v>
      </c>
      <c r="T9" s="405">
        <v>143.9</v>
      </c>
      <c r="U9" s="217">
        <v>2.3</v>
      </c>
      <c r="V9" s="405">
        <v>143.9</v>
      </c>
      <c r="W9" s="217">
        <v>2.21</v>
      </c>
      <c r="X9" s="407">
        <v>143.9</v>
      </c>
      <c r="Y9" s="357">
        <v>1.932</v>
      </c>
      <c r="Z9" s="404">
        <v>110</v>
      </c>
      <c r="AA9" s="367">
        <v>0.8</v>
      </c>
    </row>
    <row r="10" spans="1:27" s="13" customFormat="1" ht="15">
      <c r="A10" s="135">
        <v>4</v>
      </c>
      <c r="B10" s="210" t="s">
        <v>415</v>
      </c>
      <c r="C10" s="135" t="s">
        <v>414</v>
      </c>
      <c r="D10" s="211">
        <v>26.1</v>
      </c>
      <c r="E10" s="211">
        <v>154.8</v>
      </c>
      <c r="F10" s="211">
        <v>133.06</v>
      </c>
      <c r="G10" s="213">
        <v>172.09</v>
      </c>
      <c r="H10" s="405"/>
      <c r="I10" s="213">
        <v>128.51</v>
      </c>
      <c r="J10" s="405"/>
      <c r="K10" s="213">
        <v>128.792</v>
      </c>
      <c r="L10" s="405"/>
      <c r="M10" s="213">
        <v>105.73</v>
      </c>
      <c r="N10" s="405"/>
      <c r="O10" s="216">
        <v>126.47</v>
      </c>
      <c r="P10" s="406"/>
      <c r="Q10" s="213">
        <v>121.21</v>
      </c>
      <c r="R10" s="405"/>
      <c r="S10" s="214">
        <v>123.44</v>
      </c>
      <c r="T10" s="405"/>
      <c r="U10" s="31">
        <v>132.43</v>
      </c>
      <c r="V10" s="405"/>
      <c r="W10" s="31">
        <v>122.14</v>
      </c>
      <c r="X10" s="407"/>
      <c r="Y10" s="357">
        <v>111.066095</v>
      </c>
      <c r="Z10" s="404"/>
      <c r="AA10" s="367">
        <v>46.42</v>
      </c>
    </row>
    <row r="11" spans="1:27" s="13" customFormat="1" ht="15">
      <c r="A11" s="135">
        <v>5</v>
      </c>
      <c r="B11" s="210" t="s">
        <v>416</v>
      </c>
      <c r="C11" s="135" t="s">
        <v>417</v>
      </c>
      <c r="D11" s="211">
        <v>429</v>
      </c>
      <c r="E11" s="211">
        <v>48597</v>
      </c>
      <c r="F11" s="211">
        <v>54550</v>
      </c>
      <c r="G11" s="213">
        <v>39793</v>
      </c>
      <c r="H11" s="213">
        <v>50000</v>
      </c>
      <c r="I11" s="213">
        <v>46902.65</v>
      </c>
      <c r="J11" s="213">
        <v>48000</v>
      </c>
      <c r="K11" s="213">
        <v>38291.81</v>
      </c>
      <c r="L11" s="213">
        <v>48500</v>
      </c>
      <c r="M11" s="213">
        <v>40453.19</v>
      </c>
      <c r="N11" s="213">
        <v>48500</v>
      </c>
      <c r="O11" s="213">
        <v>42613.48</v>
      </c>
      <c r="P11" s="214">
        <v>48500</v>
      </c>
      <c r="Q11" s="213">
        <v>36162</v>
      </c>
      <c r="R11" s="214">
        <v>48500</v>
      </c>
      <c r="S11" s="214">
        <v>35503</v>
      </c>
      <c r="T11" s="214">
        <v>48500</v>
      </c>
      <c r="U11" s="213">
        <v>37030</v>
      </c>
      <c r="V11" s="214">
        <v>48500</v>
      </c>
      <c r="W11" s="213">
        <v>36809</v>
      </c>
      <c r="X11" s="215">
        <v>48500</v>
      </c>
      <c r="Y11" s="215">
        <v>30852</v>
      </c>
      <c r="Z11" s="363">
        <v>52000</v>
      </c>
      <c r="AA11" s="359">
        <v>50644</v>
      </c>
    </row>
    <row r="12" spans="1:27" s="13" customFormat="1" ht="15">
      <c r="A12" s="185"/>
      <c r="B12" s="192" t="s">
        <v>418</v>
      </c>
      <c r="C12" s="185"/>
      <c r="D12" s="218"/>
      <c r="E12" s="218"/>
      <c r="F12" s="21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9"/>
      <c r="S12" s="209"/>
      <c r="T12" s="206"/>
      <c r="U12" s="206"/>
      <c r="V12" s="206"/>
      <c r="W12" s="206"/>
      <c r="X12" s="206"/>
      <c r="Y12" s="206"/>
      <c r="Z12" s="358"/>
      <c r="AA12" s="358"/>
    </row>
    <row r="13" spans="1:27" s="13" customFormat="1" ht="15">
      <c r="A13" s="135">
        <v>1</v>
      </c>
      <c r="B13" s="210" t="s">
        <v>410</v>
      </c>
      <c r="C13" s="135" t="s">
        <v>419</v>
      </c>
      <c r="D13" s="211">
        <f>(10.89+9.45+9.22)/3</f>
        <v>9.853333333333333</v>
      </c>
      <c r="E13" s="211">
        <f>(10.4+18.81+15.94)/3</f>
        <v>15.049999999999999</v>
      </c>
      <c r="F13" s="211">
        <v>13.74</v>
      </c>
      <c r="G13" s="212">
        <f>2648.66/G7</f>
        <v>17.673049976646425</v>
      </c>
      <c r="H13" s="212">
        <f>(14.08+(17.91+18.45/2))/2</f>
        <v>20.607499999999998</v>
      </c>
      <c r="I13" s="213">
        <f>5412.53/I7</f>
        <v>15.562638373731273</v>
      </c>
      <c r="J13" s="212">
        <v>20.65</v>
      </c>
      <c r="K13" s="213">
        <f>2983.66/K7</f>
        <v>19.488308295231874</v>
      </c>
      <c r="L13" s="212">
        <v>20.65</v>
      </c>
      <c r="M13" s="213">
        <f>5391.38/M7</f>
        <v>24.29643983776476</v>
      </c>
      <c r="N13" s="212">
        <v>24.3</v>
      </c>
      <c r="O13" s="212">
        <v>29.97</v>
      </c>
      <c r="P13" s="215">
        <v>29.97</v>
      </c>
      <c r="Q13" s="213">
        <v>32.58</v>
      </c>
      <c r="R13" s="215">
        <v>32.58</v>
      </c>
      <c r="S13" s="214">
        <v>35.01</v>
      </c>
      <c r="T13" s="213">
        <v>35.01</v>
      </c>
      <c r="U13" s="213">
        <v>32.85</v>
      </c>
      <c r="V13" s="213">
        <v>35.01</v>
      </c>
      <c r="W13" s="213">
        <f>6324.58/192.06</f>
        <v>32.9302301364157</v>
      </c>
      <c r="X13" s="213">
        <v>35.01</v>
      </c>
      <c r="Y13" s="212">
        <f>5746.88/204.93</f>
        <v>28.043136680817838</v>
      </c>
      <c r="Z13" s="213">
        <v>35.01</v>
      </c>
      <c r="AA13" s="212">
        <v>31.62</v>
      </c>
    </row>
    <row r="14" spans="1:27" s="13" customFormat="1" ht="15">
      <c r="A14" s="135">
        <v>2</v>
      </c>
      <c r="B14" s="210" t="s">
        <v>412</v>
      </c>
      <c r="C14" s="135" t="s">
        <v>419</v>
      </c>
      <c r="D14" s="211">
        <f>(10.28+7.64+8.71)/3</f>
        <v>8.876666666666667</v>
      </c>
      <c r="E14" s="211">
        <f>(8.11+12.24+10.37)/3</f>
        <v>10.24</v>
      </c>
      <c r="F14" s="211">
        <v>10.27</v>
      </c>
      <c r="G14" s="212">
        <f>1799.9/G8</f>
        <v>12.009741776206045</v>
      </c>
      <c r="H14" s="213">
        <f>(10.82+(11.48+12.16)/2)/2</f>
        <v>11.32</v>
      </c>
      <c r="I14" s="213">
        <f>3894.17/I8</f>
        <v>11.196900428419449</v>
      </c>
      <c r="J14" s="212">
        <v>12.3</v>
      </c>
      <c r="K14" s="213">
        <f>1861.25/K8</f>
        <v>12.157086871325932</v>
      </c>
      <c r="L14" s="212">
        <v>12.3</v>
      </c>
      <c r="M14" s="213">
        <f>3451.67/M8</f>
        <v>18.50364533076016</v>
      </c>
      <c r="N14" s="212">
        <v>18.5</v>
      </c>
      <c r="O14" s="212">
        <v>23.69</v>
      </c>
      <c r="P14" s="215">
        <v>23.69</v>
      </c>
      <c r="Q14" s="213">
        <v>26.1</v>
      </c>
      <c r="R14" s="215">
        <v>26.1</v>
      </c>
      <c r="S14" s="214">
        <v>28.55</v>
      </c>
      <c r="T14" s="213">
        <v>28.55</v>
      </c>
      <c r="U14" s="213">
        <v>21.41</v>
      </c>
      <c r="V14" s="213">
        <v>28.55</v>
      </c>
      <c r="W14" s="213">
        <f>5139.39/192.06</f>
        <v>26.75929397063418</v>
      </c>
      <c r="X14" s="213">
        <v>28.55</v>
      </c>
      <c r="Y14" s="212">
        <f>5660.1/204.93</f>
        <v>27.61967501097936</v>
      </c>
      <c r="Z14" s="213">
        <v>28.55</v>
      </c>
      <c r="AA14" s="212">
        <v>24.05</v>
      </c>
    </row>
    <row r="15" spans="1:27" s="13" customFormat="1" ht="15">
      <c r="A15" s="135">
        <v>3</v>
      </c>
      <c r="B15" s="210" t="s">
        <v>413</v>
      </c>
      <c r="C15" s="135" t="s">
        <v>419</v>
      </c>
      <c r="D15" s="211">
        <v>0</v>
      </c>
      <c r="E15" s="211">
        <v>0</v>
      </c>
      <c r="F15" s="211">
        <v>0</v>
      </c>
      <c r="G15" s="213">
        <v>0</v>
      </c>
      <c r="H15" s="213">
        <f>(+(2627.695+3024.482)/2+(1992.49+2293.35)/2+2926.164)/3</f>
        <v>2631.724166666667</v>
      </c>
      <c r="I15" s="213">
        <f>8109.07/I9</f>
        <v>2805.9065743944634</v>
      </c>
      <c r="J15" s="212">
        <v>2725.27</v>
      </c>
      <c r="K15" s="212">
        <v>2813.91</v>
      </c>
      <c r="L15" s="212">
        <v>2725.27</v>
      </c>
      <c r="M15" s="212">
        <f>4907.58/M9</f>
        <v>3456.042253521127</v>
      </c>
      <c r="N15" s="212">
        <v>4488.41</v>
      </c>
      <c r="O15" s="212">
        <v>4745.49</v>
      </c>
      <c r="P15" s="215">
        <v>4745.49</v>
      </c>
      <c r="Q15" s="213">
        <v>4500.21</v>
      </c>
      <c r="R15" s="215">
        <v>4500.21</v>
      </c>
      <c r="S15" s="214">
        <v>4271.77</v>
      </c>
      <c r="T15" s="213">
        <v>4271.77</v>
      </c>
      <c r="U15" s="213">
        <v>4486.12</v>
      </c>
      <c r="V15" s="213">
        <v>4486.12</v>
      </c>
      <c r="W15" s="213">
        <f>8672.92/2.2128</f>
        <v>3919.4323933477945</v>
      </c>
      <c r="X15" s="213">
        <v>4486.12</v>
      </c>
      <c r="Y15" s="212">
        <f>8027.41/1.932467</f>
        <v>4153.970028983677</v>
      </c>
      <c r="Z15" s="213">
        <v>4486.12</v>
      </c>
      <c r="AA15" s="212">
        <v>4511.62</v>
      </c>
    </row>
    <row r="16" spans="1:27" s="13" customFormat="1" ht="15">
      <c r="A16" s="135">
        <v>4</v>
      </c>
      <c r="B16" s="210" t="s">
        <v>415</v>
      </c>
      <c r="C16" s="135" t="s">
        <v>419</v>
      </c>
      <c r="D16" s="211">
        <v>1826.87</v>
      </c>
      <c r="E16" s="211">
        <v>2016.97</v>
      </c>
      <c r="F16" s="211">
        <v>2229.62</v>
      </c>
      <c r="G16" s="213">
        <f>404834.02/G10</f>
        <v>2352.4552269161486</v>
      </c>
      <c r="H16" s="213">
        <f>(+(2627.695+3024.482)/2+(2381.49+2741.09)/2+(1992.49+2293.35)/2+2926.164)/4</f>
        <v>2614.115625</v>
      </c>
      <c r="I16" s="213">
        <f>345502.32/I10</f>
        <v>2688.5247840634975</v>
      </c>
      <c r="J16" s="212">
        <v>2725.27</v>
      </c>
      <c r="K16" s="213">
        <f>373220.31/K10</f>
        <v>2897.8532051680227</v>
      </c>
      <c r="L16" s="212">
        <v>2725.27</v>
      </c>
      <c r="M16" s="213">
        <f>335736.93/M10</f>
        <v>3175.4178568050693</v>
      </c>
      <c r="N16" s="212">
        <v>4488.41</v>
      </c>
      <c r="O16" s="212">
        <v>4487.55</v>
      </c>
      <c r="P16" s="215">
        <v>4487.55</v>
      </c>
      <c r="Q16" s="213">
        <v>4500.21</v>
      </c>
      <c r="R16" s="215">
        <v>4500.21</v>
      </c>
      <c r="S16" s="214">
        <v>4500.21</v>
      </c>
      <c r="T16" s="213">
        <v>4500.21</v>
      </c>
      <c r="U16" s="213">
        <v>4891.65</v>
      </c>
      <c r="V16" s="213">
        <v>4891.65</v>
      </c>
      <c r="W16" s="213">
        <f>561859.6/122.143158</f>
        <v>4600.0087864111065</v>
      </c>
      <c r="X16" s="213">
        <v>4891.65</v>
      </c>
      <c r="Y16" s="212">
        <f>524854.95/111.066</f>
        <v>4725.613148938469</v>
      </c>
      <c r="Z16" s="213">
        <v>4891.65</v>
      </c>
      <c r="AA16" s="212">
        <v>4497.53</v>
      </c>
    </row>
    <row r="17" spans="1:27" s="13" customFormat="1" ht="15">
      <c r="A17" s="135">
        <v>5</v>
      </c>
      <c r="B17" s="210" t="s">
        <v>416</v>
      </c>
      <c r="C17" s="135" t="s">
        <v>419</v>
      </c>
      <c r="D17" s="211">
        <v>3.11</v>
      </c>
      <c r="E17" s="211">
        <v>4.29</v>
      </c>
      <c r="F17" s="211">
        <v>4.4</v>
      </c>
      <c r="G17" s="213">
        <f>162741.38/G11</f>
        <v>4.089698690724499</v>
      </c>
      <c r="H17" s="213">
        <f>(3.64+3.53+3.35)/3</f>
        <v>3.5066666666666664</v>
      </c>
      <c r="I17" s="213">
        <f>202878.73/I11</f>
        <v>4.325528088498198</v>
      </c>
      <c r="J17" s="212">
        <v>4.83</v>
      </c>
      <c r="K17" s="213">
        <f>160789.66/K11</f>
        <v>4.199061365863876</v>
      </c>
      <c r="L17" s="212">
        <v>4.83</v>
      </c>
      <c r="M17" s="213">
        <f>190759/M11</f>
        <v>4.7155490086195915</v>
      </c>
      <c r="N17" s="212">
        <v>5.01</v>
      </c>
      <c r="O17" s="212">
        <v>5.07</v>
      </c>
      <c r="P17" s="215">
        <v>5.07</v>
      </c>
      <c r="Q17" s="213">
        <v>5.14</v>
      </c>
      <c r="R17" s="215">
        <v>5.14</v>
      </c>
      <c r="S17" s="214">
        <v>5.33</v>
      </c>
      <c r="T17" s="213">
        <v>5.33</v>
      </c>
      <c r="U17" s="213">
        <v>5.92</v>
      </c>
      <c r="V17" s="213">
        <v>5.92</v>
      </c>
      <c r="W17" s="213">
        <f>224635.26/36809</f>
        <v>6.102726507104241</v>
      </c>
      <c r="X17" s="213">
        <v>6.1</v>
      </c>
      <c r="Y17" s="212">
        <f>198403.18/30852</f>
        <v>6.430804485932841</v>
      </c>
      <c r="Z17" s="213">
        <v>6.1</v>
      </c>
      <c r="AA17" s="212">
        <v>11.39</v>
      </c>
    </row>
    <row r="18" ht="12.75">
      <c r="AA18" s="418"/>
    </row>
    <row r="20" spans="9:16" ht="12.75">
      <c r="I20" s="219"/>
      <c r="J20" s="219"/>
      <c r="K20" s="219"/>
      <c r="L20" s="219"/>
      <c r="M20" s="219"/>
      <c r="N20" s="219"/>
      <c r="O20" s="219"/>
      <c r="P20" s="219"/>
    </row>
    <row r="21" spans="9:16" ht="12.75">
      <c r="I21" s="219"/>
      <c r="J21" s="219"/>
      <c r="K21" s="219"/>
      <c r="L21" s="219"/>
      <c r="M21" s="219"/>
      <c r="N21" s="219"/>
      <c r="O21" s="219"/>
      <c r="P21" s="219"/>
    </row>
    <row r="22" spans="9:16" ht="12.75">
      <c r="I22" s="219"/>
      <c r="J22" s="219"/>
      <c r="K22" s="219"/>
      <c r="L22" s="219"/>
      <c r="M22" s="219"/>
      <c r="N22" s="219"/>
      <c r="O22" s="219"/>
      <c r="P22" s="219"/>
    </row>
    <row r="23" spans="11:16" ht="12.75">
      <c r="K23" s="219"/>
      <c r="M23" s="219"/>
      <c r="P23" s="219"/>
    </row>
    <row r="25" spans="9:16" ht="12.75">
      <c r="I25" s="219"/>
      <c r="J25" s="219"/>
      <c r="K25" s="219"/>
      <c r="L25" s="219"/>
      <c r="M25" s="219"/>
      <c r="N25" s="219"/>
      <c r="O25" s="219"/>
      <c r="P25" s="219"/>
    </row>
    <row r="26" spans="10:15" ht="12.75">
      <c r="J26" s="219"/>
      <c r="L26" s="219"/>
      <c r="N26" s="219"/>
      <c r="O26" s="219"/>
    </row>
    <row r="28" spans="11:16" ht="12.75">
      <c r="K28" s="219"/>
      <c r="M28" s="219"/>
      <c r="P28" s="219"/>
    </row>
    <row r="29" spans="11:16" ht="12.75">
      <c r="K29" s="219"/>
      <c r="M29" s="219"/>
      <c r="P29" s="219"/>
    </row>
  </sheetData>
  <sheetProtection selectLockedCells="1" selectUnlockedCells="1"/>
  <mergeCells count="13">
    <mergeCell ref="T9:T10"/>
    <mergeCell ref="V9:V10"/>
    <mergeCell ref="X9:X10"/>
    <mergeCell ref="Z9:Z10"/>
    <mergeCell ref="A1:D1"/>
    <mergeCell ref="A2:F2"/>
    <mergeCell ref="A3:D3"/>
    <mergeCell ref="H9:H10"/>
    <mergeCell ref="J9:J10"/>
    <mergeCell ref="L9:L10"/>
    <mergeCell ref="N9:N10"/>
    <mergeCell ref="P9:P10"/>
    <mergeCell ref="R9:R10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47"/>
  <sheetViews>
    <sheetView zoomScalePageLayoutView="0" workbookViewId="0" topLeftCell="A1">
      <pane xSplit="3" ySplit="5" topLeftCell="I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23" sqref="P23"/>
    </sheetView>
  </sheetViews>
  <sheetFormatPr defaultColWidth="9.50390625" defaultRowHeight="12.75"/>
  <cols>
    <col min="1" max="1" width="6.50390625" style="156" customWidth="1"/>
    <col min="2" max="2" width="42.50390625" style="156" customWidth="1"/>
    <col min="3" max="3" width="17.50390625" style="156" customWidth="1"/>
    <col min="4" max="8" width="10.50390625" style="156" customWidth="1"/>
    <col min="9" max="9" width="12.50390625" style="156" customWidth="1"/>
    <col min="10" max="10" width="11.50390625" style="156" customWidth="1"/>
    <col min="11" max="11" width="13.50390625" style="156" customWidth="1"/>
    <col min="12" max="12" width="12.625" style="156" customWidth="1"/>
    <col min="13" max="13" width="12.375" style="156" customWidth="1"/>
    <col min="14" max="15" width="16.50390625" style="156" customWidth="1"/>
    <col min="16" max="16" width="13.875" style="156" customWidth="1"/>
    <col min="17" max="16384" width="9.50390625" style="156" customWidth="1"/>
  </cols>
  <sheetData>
    <row r="1" spans="1:4" ht="15">
      <c r="A1" s="381" t="s">
        <v>420</v>
      </c>
      <c r="B1" s="381"/>
      <c r="C1" s="381"/>
      <c r="D1" s="381"/>
    </row>
    <row r="2" spans="1:5" ht="15">
      <c r="A2" s="408" t="s">
        <v>23</v>
      </c>
      <c r="B2" s="408"/>
      <c r="C2" s="408"/>
      <c r="D2" s="408"/>
      <c r="E2" s="408"/>
    </row>
    <row r="3" spans="1:4" ht="12.75">
      <c r="A3" s="409" t="s">
        <v>24</v>
      </c>
      <c r="B3" s="409"/>
      <c r="C3" s="409"/>
      <c r="D3" s="409"/>
    </row>
    <row r="4" spans="1:4" ht="15">
      <c r="A4" s="72"/>
      <c r="B4" s="72"/>
      <c r="C4" s="72"/>
      <c r="D4" s="72"/>
    </row>
    <row r="5" spans="1:16" ht="14.25" customHeight="1">
      <c r="A5" s="133" t="s">
        <v>206</v>
      </c>
      <c r="B5" s="133" t="s">
        <v>207</v>
      </c>
      <c r="C5" s="133" t="s">
        <v>282</v>
      </c>
      <c r="D5" s="80" t="s">
        <v>421</v>
      </c>
      <c r="E5" s="80" t="s">
        <v>422</v>
      </c>
      <c r="F5" s="80" t="s">
        <v>423</v>
      </c>
      <c r="G5" s="80" t="s">
        <v>424</v>
      </c>
      <c r="H5" s="80" t="s">
        <v>425</v>
      </c>
      <c r="I5" s="80" t="s">
        <v>426</v>
      </c>
      <c r="J5" s="220" t="s">
        <v>427</v>
      </c>
      <c r="K5" s="80" t="s">
        <v>428</v>
      </c>
      <c r="L5" s="220" t="s">
        <v>429</v>
      </c>
      <c r="M5" s="220" t="s">
        <v>430</v>
      </c>
      <c r="N5" s="80" t="s">
        <v>431</v>
      </c>
      <c r="O5" s="220" t="s">
        <v>676</v>
      </c>
      <c r="P5" s="356">
        <v>44743</v>
      </c>
    </row>
    <row r="6" spans="1:16" ht="15">
      <c r="A6" s="146">
        <v>1</v>
      </c>
      <c r="B6" s="187" t="s">
        <v>432</v>
      </c>
      <c r="C6" s="146" t="s">
        <v>433</v>
      </c>
      <c r="D6" s="221">
        <f>4578958.58/1000</f>
        <v>4578.95858</v>
      </c>
      <c r="E6" s="221">
        <f>4578958.58/1000</f>
        <v>4578.95858</v>
      </c>
      <c r="F6" s="221">
        <f>4578958.58/1000</f>
        <v>4578.95858</v>
      </c>
      <c r="G6" s="221">
        <f>4578958.58/1000</f>
        <v>4578.95858</v>
      </c>
      <c r="H6" s="221">
        <f>4578958.58/1000</f>
        <v>4578.95858</v>
      </c>
      <c r="I6" s="221">
        <f>(4578958.58+1638680.74)/1000</f>
        <v>6217.63932</v>
      </c>
      <c r="J6" s="222">
        <f>(4578958.58+1638680.74)/1000</f>
        <v>6217.63932</v>
      </c>
      <c r="K6" s="223">
        <v>6217.64</v>
      </c>
      <c r="L6" s="224">
        <v>7879.536</v>
      </c>
      <c r="M6" s="225">
        <v>7879.54</v>
      </c>
      <c r="N6" s="225">
        <f>7879536.72/1000</f>
        <v>7879.53672</v>
      </c>
      <c r="O6" s="225">
        <f>7879536.72/1000</f>
        <v>7879.53672</v>
      </c>
      <c r="P6" s="225">
        <f>7879536.72/1000</f>
        <v>7879.53672</v>
      </c>
    </row>
    <row r="7" spans="1:16" ht="15">
      <c r="A7" s="146">
        <v>2</v>
      </c>
      <c r="B7" s="187" t="s">
        <v>434</v>
      </c>
      <c r="C7" s="146" t="s">
        <v>435</v>
      </c>
      <c r="D7" s="60">
        <v>34.7</v>
      </c>
      <c r="E7" s="60">
        <v>35.5</v>
      </c>
      <c r="F7" s="60">
        <v>36.3</v>
      </c>
      <c r="G7" s="60">
        <v>37.1</v>
      </c>
      <c r="H7" s="60">
        <v>37.9</v>
      </c>
      <c r="I7" s="60">
        <v>34.98</v>
      </c>
      <c r="J7" s="226">
        <v>35.77</v>
      </c>
      <c r="K7" s="223">
        <v>36.48</v>
      </c>
      <c r="L7" s="224">
        <f>(3979682.59/7879536.72)*100</f>
        <v>50.50655554277308</v>
      </c>
      <c r="M7" s="227">
        <f>(4027796.47/7879536.72)*100</f>
        <v>51.1171736756625</v>
      </c>
      <c r="N7" s="227">
        <f>(4080573.79/7879536.72)*100</f>
        <v>51.786975998761505</v>
      </c>
      <c r="O7" s="227">
        <f>(4128614.83/7879536.72)*100</f>
        <v>52.39666971182032</v>
      </c>
      <c r="P7" s="227">
        <f>(4152635.35/7879536.72)*100</f>
        <v>52.701516568349724</v>
      </c>
    </row>
    <row r="8" spans="1:16" ht="15">
      <c r="A8" s="146">
        <v>3</v>
      </c>
      <c r="B8" s="187" t="s">
        <v>436</v>
      </c>
      <c r="C8" s="146" t="s">
        <v>433</v>
      </c>
      <c r="D8" s="60" t="s">
        <v>63</v>
      </c>
      <c r="E8" s="60" t="s">
        <v>63</v>
      </c>
      <c r="F8" s="60" t="s">
        <v>63</v>
      </c>
      <c r="G8" s="60" t="s">
        <v>63</v>
      </c>
      <c r="H8" s="60" t="s">
        <v>63</v>
      </c>
      <c r="I8" s="60" t="s">
        <v>63</v>
      </c>
      <c r="J8" s="226" t="s">
        <v>63</v>
      </c>
      <c r="K8" s="223" t="s">
        <v>63</v>
      </c>
      <c r="L8" s="224" t="s">
        <v>63</v>
      </c>
      <c r="M8" s="227" t="s">
        <v>63</v>
      </c>
      <c r="N8" s="227" t="s">
        <v>63</v>
      </c>
      <c r="O8" s="227" t="s">
        <v>63</v>
      </c>
      <c r="P8" s="227" t="s">
        <v>63</v>
      </c>
    </row>
    <row r="9" spans="1:16" ht="15">
      <c r="A9" s="146">
        <v>4</v>
      </c>
      <c r="B9" s="187" t="s">
        <v>437</v>
      </c>
      <c r="C9" s="146"/>
      <c r="D9" s="60"/>
      <c r="E9" s="60"/>
      <c r="F9" s="60"/>
      <c r="G9" s="60"/>
      <c r="H9" s="60"/>
      <c r="I9" s="60"/>
      <c r="J9" s="226"/>
      <c r="K9" s="223"/>
      <c r="L9" s="224"/>
      <c r="M9" s="227"/>
      <c r="N9" s="227"/>
      <c r="O9" s="227"/>
      <c r="P9" s="227"/>
    </row>
    <row r="10" spans="1:16" ht="15">
      <c r="A10" s="146" t="s">
        <v>269</v>
      </c>
      <c r="B10" s="187" t="s">
        <v>346</v>
      </c>
      <c r="C10" s="146" t="s">
        <v>286</v>
      </c>
      <c r="D10" s="60" t="s">
        <v>63</v>
      </c>
      <c r="E10" s="60" t="s">
        <v>63</v>
      </c>
      <c r="F10" s="60" t="s">
        <v>63</v>
      </c>
      <c r="G10" s="60" t="s">
        <v>63</v>
      </c>
      <c r="H10" s="60" t="s">
        <v>63</v>
      </c>
      <c r="I10" s="60" t="s">
        <v>63</v>
      </c>
      <c r="J10" s="226" t="s">
        <v>63</v>
      </c>
      <c r="K10" s="223" t="s">
        <v>63</v>
      </c>
      <c r="L10" s="224" t="s">
        <v>63</v>
      </c>
      <c r="M10" s="227" t="s">
        <v>63</v>
      </c>
      <c r="N10" s="227" t="s">
        <v>63</v>
      </c>
      <c r="O10" s="227" t="s">
        <v>63</v>
      </c>
      <c r="P10" s="227" t="s">
        <v>63</v>
      </c>
    </row>
    <row r="11" spans="1:16" ht="15">
      <c r="A11" s="146" t="s">
        <v>438</v>
      </c>
      <c r="B11" s="187" t="s">
        <v>439</v>
      </c>
      <c r="C11" s="146" t="s">
        <v>286</v>
      </c>
      <c r="D11" s="60" t="s">
        <v>63</v>
      </c>
      <c r="E11" s="60" t="s">
        <v>63</v>
      </c>
      <c r="F11" s="60" t="s">
        <v>63</v>
      </c>
      <c r="G11" s="60" t="s">
        <v>63</v>
      </c>
      <c r="H11" s="60" t="s">
        <v>63</v>
      </c>
      <c r="I11" s="60" t="s">
        <v>63</v>
      </c>
      <c r="J11" s="226" t="s">
        <v>63</v>
      </c>
      <c r="K11" s="223" t="s">
        <v>63</v>
      </c>
      <c r="L11" s="224" t="s">
        <v>63</v>
      </c>
      <c r="M11" s="227" t="s">
        <v>63</v>
      </c>
      <c r="N11" s="227" t="s">
        <v>63</v>
      </c>
      <c r="O11" s="227" t="s">
        <v>63</v>
      </c>
      <c r="P11" s="227" t="s">
        <v>63</v>
      </c>
    </row>
    <row r="12" spans="1:16" ht="15">
      <c r="A12" s="146" t="s">
        <v>440</v>
      </c>
      <c r="B12" s="187" t="s">
        <v>441</v>
      </c>
      <c r="C12" s="146" t="s">
        <v>286</v>
      </c>
      <c r="D12" s="60" t="s">
        <v>63</v>
      </c>
      <c r="E12" s="60" t="s">
        <v>63</v>
      </c>
      <c r="F12" s="60" t="s">
        <v>63</v>
      </c>
      <c r="G12" s="60" t="s">
        <v>63</v>
      </c>
      <c r="H12" s="60" t="s">
        <v>63</v>
      </c>
      <c r="I12" s="60" t="s">
        <v>63</v>
      </c>
      <c r="J12" s="226" t="s">
        <v>63</v>
      </c>
      <c r="K12" s="223" t="s">
        <v>63</v>
      </c>
      <c r="L12" s="224" t="s">
        <v>63</v>
      </c>
      <c r="M12" s="227" t="s">
        <v>63</v>
      </c>
      <c r="N12" s="227" t="s">
        <v>63</v>
      </c>
      <c r="O12" s="227" t="s">
        <v>63</v>
      </c>
      <c r="P12" s="227" t="s">
        <v>63</v>
      </c>
    </row>
    <row r="13" spans="1:16" ht="15">
      <c r="A13" s="146">
        <v>5</v>
      </c>
      <c r="B13" s="187" t="s">
        <v>442</v>
      </c>
      <c r="C13" s="146" t="s">
        <v>433</v>
      </c>
      <c r="D13" s="221">
        <v>7987.5</v>
      </c>
      <c r="E13" s="221">
        <v>8350.7</v>
      </c>
      <c r="F13" s="221">
        <v>8480.5</v>
      </c>
      <c r="G13" s="221">
        <v>8480.5</v>
      </c>
      <c r="H13" s="221">
        <v>7811.77</v>
      </c>
      <c r="I13" s="221">
        <f>10551183.9/1000</f>
        <v>10551.1839</v>
      </c>
      <c r="J13" s="222">
        <v>11039.27</v>
      </c>
      <c r="K13" s="221">
        <v>11395.82</v>
      </c>
      <c r="L13" s="222">
        <v>13877.54</v>
      </c>
      <c r="M13" s="228">
        <f>13783360.1/1000</f>
        <v>13783.3601</v>
      </c>
      <c r="N13" s="228">
        <v>13684.43</v>
      </c>
      <c r="O13" s="228">
        <f>14099346.94/1000</f>
        <v>14099.34694</v>
      </c>
      <c r="P13" s="228">
        <f>14416994.14/1000</f>
        <v>14416.99414</v>
      </c>
    </row>
    <row r="14" spans="1:16" ht="15">
      <c r="A14" s="146">
        <v>6</v>
      </c>
      <c r="B14" s="187" t="s">
        <v>443</v>
      </c>
      <c r="C14" s="146" t="s">
        <v>435</v>
      </c>
      <c r="D14" s="229">
        <v>57.85</v>
      </c>
      <c r="E14" s="229">
        <v>59.72</v>
      </c>
      <c r="F14" s="229">
        <v>63.02</v>
      </c>
      <c r="G14" s="229">
        <v>64.7</v>
      </c>
      <c r="H14" s="229">
        <f>100-((H22/H13)*100)</f>
        <v>63.28194506494687</v>
      </c>
      <c r="I14" s="229">
        <f>100-((I22/I13)*100)</f>
        <v>57.7831946422619</v>
      </c>
      <c r="J14" s="230">
        <v>59.5</v>
      </c>
      <c r="K14" s="231">
        <v>61.81</v>
      </c>
      <c r="L14" s="232">
        <f>(9149.915/13877.539)*100</f>
        <v>65.93326813925727</v>
      </c>
      <c r="M14" s="233">
        <f>(9348167.66/13783360.1)*100</f>
        <v>67.82212459210146</v>
      </c>
      <c r="N14" s="233">
        <f>+(9519688.51/13684427.97)*100</f>
        <v>69.56584908678502</v>
      </c>
      <c r="O14" s="233">
        <f>+(9989540.32/14099346.94)*100</f>
        <v>70.85108524891722</v>
      </c>
      <c r="P14" s="233">
        <f>+(10403029.3/14416994.14)*100</f>
        <v>72.15810174422393</v>
      </c>
    </row>
    <row r="15" spans="1:16" ht="15">
      <c r="A15" s="146" t="s">
        <v>444</v>
      </c>
      <c r="B15" s="187" t="s">
        <v>445</v>
      </c>
      <c r="C15" s="146" t="s">
        <v>435</v>
      </c>
      <c r="D15" s="229" t="s">
        <v>63</v>
      </c>
      <c r="E15" s="229" t="s">
        <v>63</v>
      </c>
      <c r="F15" s="229" t="s">
        <v>63</v>
      </c>
      <c r="G15" s="229" t="s">
        <v>63</v>
      </c>
      <c r="H15" s="229" t="s">
        <v>63</v>
      </c>
      <c r="I15" s="229" t="s">
        <v>63</v>
      </c>
      <c r="J15" s="230" t="s">
        <v>63</v>
      </c>
      <c r="K15" s="223" t="s">
        <v>63</v>
      </c>
      <c r="L15" s="224" t="s">
        <v>63</v>
      </c>
      <c r="M15" s="227" t="s">
        <v>63</v>
      </c>
      <c r="N15" s="227" t="s">
        <v>63</v>
      </c>
      <c r="O15" s="227" t="s">
        <v>63</v>
      </c>
      <c r="P15" s="227" t="s">
        <v>63</v>
      </c>
    </row>
    <row r="16" spans="1:16" ht="15">
      <c r="A16" s="146" t="s">
        <v>446</v>
      </c>
      <c r="B16" s="187" t="s">
        <v>447</v>
      </c>
      <c r="C16" s="146" t="s">
        <v>435</v>
      </c>
      <c r="D16" s="229">
        <v>98.1</v>
      </c>
      <c r="E16" s="229">
        <v>98.2</v>
      </c>
      <c r="F16" s="229">
        <v>98.4</v>
      </c>
      <c r="G16" s="229">
        <v>98.5</v>
      </c>
      <c r="H16" s="229">
        <v>98.6</v>
      </c>
      <c r="I16" s="229">
        <v>95.95</v>
      </c>
      <c r="J16" s="230">
        <v>96.9</v>
      </c>
      <c r="K16" s="231">
        <v>99.27</v>
      </c>
      <c r="L16" s="232">
        <f>(1556769.99/1566889.63)*100</f>
        <v>99.35415744630336</v>
      </c>
      <c r="M16" s="233">
        <f>(1907337.14/1916535.18)*100</f>
        <v>99.52006933679141</v>
      </c>
      <c r="N16" s="233">
        <f>+(1546269.54/1554545.98)*100</f>
        <v>99.46759760685883</v>
      </c>
      <c r="O16" s="233">
        <f>+(1583491.14/1590845.98)*100</f>
        <v>99.53767743122435</v>
      </c>
      <c r="P16" s="233">
        <f>(1815550.94/1822444.98)*100</f>
        <v>99.6217147801082</v>
      </c>
    </row>
    <row r="17" spans="1:16" ht="15">
      <c r="A17" s="146" t="s">
        <v>448</v>
      </c>
      <c r="B17" s="187" t="s">
        <v>449</v>
      </c>
      <c r="C17" s="146" t="s">
        <v>435</v>
      </c>
      <c r="D17" s="229" t="s">
        <v>63</v>
      </c>
      <c r="E17" s="229" t="s">
        <v>63</v>
      </c>
      <c r="F17" s="229" t="s">
        <v>63</v>
      </c>
      <c r="G17" s="229" t="s">
        <v>63</v>
      </c>
      <c r="H17" s="229" t="s">
        <v>63</v>
      </c>
      <c r="I17" s="229" t="s">
        <v>63</v>
      </c>
      <c r="J17" s="230" t="s">
        <v>63</v>
      </c>
      <c r="K17" s="223" t="s">
        <v>63</v>
      </c>
      <c r="L17" s="224" t="s">
        <v>63</v>
      </c>
      <c r="M17" s="227" t="s">
        <v>63</v>
      </c>
      <c r="N17" s="227" t="s">
        <v>63</v>
      </c>
      <c r="O17" s="227" t="s">
        <v>63</v>
      </c>
      <c r="P17" s="227" t="s">
        <v>63</v>
      </c>
    </row>
    <row r="18" spans="1:16" ht="15">
      <c r="A18" s="146" t="s">
        <v>450</v>
      </c>
      <c r="B18" s="187" t="s">
        <v>451</v>
      </c>
      <c r="C18" s="146" t="s">
        <v>435</v>
      </c>
      <c r="D18" s="229">
        <v>90.2</v>
      </c>
      <c r="E18" s="229">
        <v>86</v>
      </c>
      <c r="F18" s="229">
        <v>90.9</v>
      </c>
      <c r="G18" s="229">
        <v>95.5</v>
      </c>
      <c r="H18" s="229">
        <v>96.8</v>
      </c>
      <c r="I18" s="229">
        <v>99.28</v>
      </c>
      <c r="J18" s="230">
        <v>82.75</v>
      </c>
      <c r="K18" s="231">
        <v>87.75</v>
      </c>
      <c r="L18" s="232">
        <f>(3115962.71/3316113.55)*100</f>
        <v>93.96429473894223</v>
      </c>
      <c r="M18" s="233">
        <f>(3250534.1/3337288.2)*100</f>
        <v>97.40046124874681</v>
      </c>
      <c r="N18" s="233">
        <f>(3600345.27/3600345.27)*100</f>
        <v>100</v>
      </c>
      <c r="O18" s="233">
        <f>(3854934.48/3978964.24)*100</f>
        <v>96.88286316440984</v>
      </c>
      <c r="P18" s="233">
        <f>+(3947343.16/4065012.44)*100</f>
        <v>97.10531562358516</v>
      </c>
    </row>
    <row r="19" spans="1:16" ht="15">
      <c r="A19" s="146" t="s">
        <v>452</v>
      </c>
      <c r="B19" s="187" t="s">
        <v>445</v>
      </c>
      <c r="C19" s="146" t="s">
        <v>435</v>
      </c>
      <c r="D19" s="229" t="s">
        <v>63</v>
      </c>
      <c r="E19" s="229" t="s">
        <v>63</v>
      </c>
      <c r="F19" s="229" t="s">
        <v>63</v>
      </c>
      <c r="G19" s="229" t="s">
        <v>63</v>
      </c>
      <c r="H19" s="229" t="s">
        <v>63</v>
      </c>
      <c r="I19" s="229" t="s">
        <v>63</v>
      </c>
      <c r="J19" s="230" t="s">
        <v>63</v>
      </c>
      <c r="K19" s="223" t="s">
        <v>63</v>
      </c>
      <c r="L19" s="224" t="s">
        <v>63</v>
      </c>
      <c r="M19" s="227" t="s">
        <v>63</v>
      </c>
      <c r="N19" s="227" t="s">
        <v>63</v>
      </c>
      <c r="O19" s="227" t="s">
        <v>63</v>
      </c>
      <c r="P19" s="227" t="s">
        <v>63</v>
      </c>
    </row>
    <row r="20" spans="1:16" ht="15">
      <c r="A20" s="146" t="s">
        <v>453</v>
      </c>
      <c r="B20" s="187" t="s">
        <v>454</v>
      </c>
      <c r="C20" s="146" t="s">
        <v>435</v>
      </c>
      <c r="D20" s="229" t="s">
        <v>63</v>
      </c>
      <c r="E20" s="229" t="s">
        <v>63</v>
      </c>
      <c r="F20" s="229" t="s">
        <v>63</v>
      </c>
      <c r="G20" s="229" t="s">
        <v>63</v>
      </c>
      <c r="H20" s="229" t="s">
        <v>63</v>
      </c>
      <c r="I20" s="229" t="s">
        <v>63</v>
      </c>
      <c r="J20" s="230" t="s">
        <v>63</v>
      </c>
      <c r="K20" s="223" t="s">
        <v>63</v>
      </c>
      <c r="L20" s="224" t="s">
        <v>63</v>
      </c>
      <c r="M20" s="227" t="s">
        <v>63</v>
      </c>
      <c r="N20" s="227" t="s">
        <v>63</v>
      </c>
      <c r="O20" s="227" t="s">
        <v>63</v>
      </c>
      <c r="P20" s="227" t="s">
        <v>63</v>
      </c>
    </row>
    <row r="21" spans="1:16" ht="15">
      <c r="A21" s="146" t="s">
        <v>455</v>
      </c>
      <c r="B21" s="187" t="s">
        <v>456</v>
      </c>
      <c r="C21" s="146" t="s">
        <v>435</v>
      </c>
      <c r="D21" s="229">
        <v>72.7</v>
      </c>
      <c r="E21" s="229">
        <v>86.9</v>
      </c>
      <c r="F21" s="229">
        <v>100</v>
      </c>
      <c r="G21" s="229">
        <v>100</v>
      </c>
      <c r="H21" s="229">
        <v>100</v>
      </c>
      <c r="I21" s="229">
        <v>100</v>
      </c>
      <c r="J21" s="230">
        <v>100</v>
      </c>
      <c r="K21" s="231">
        <v>100</v>
      </c>
      <c r="L21" s="232">
        <f>(497499.99/1115000)*100</f>
        <v>44.6188331838565</v>
      </c>
      <c r="M21" s="233">
        <f>(162499.95/650000)*100</f>
        <v>24.99999230769231</v>
      </c>
      <c r="N21" s="233">
        <f>+(292499.91/650000)*100</f>
        <v>44.99998615384615</v>
      </c>
      <c r="O21" s="233">
        <f>+(422499.87/650000)*100</f>
        <v>64.99998000000001</v>
      </c>
      <c r="P21" s="233">
        <f>(487499.85/650000)*100</f>
        <v>74.99997692307691</v>
      </c>
    </row>
    <row r="22" spans="1:16" ht="15">
      <c r="A22" s="146">
        <v>7</v>
      </c>
      <c r="B22" s="187" t="s">
        <v>457</v>
      </c>
      <c r="C22" s="146" t="s">
        <v>433</v>
      </c>
      <c r="D22" s="234">
        <v>3366.6</v>
      </c>
      <c r="E22" s="234">
        <v>3363.41</v>
      </c>
      <c r="F22" s="234">
        <v>3135.89</v>
      </c>
      <c r="G22" s="234">
        <v>2994.15</v>
      </c>
      <c r="H22" s="234">
        <v>2868.33</v>
      </c>
      <c r="I22" s="234">
        <f>4454372.77/1000</f>
        <v>4454.37277</v>
      </c>
      <c r="J22" s="235">
        <v>4559.35</v>
      </c>
      <c r="K22" s="223">
        <v>4352.38</v>
      </c>
      <c r="L22" s="224">
        <v>4727.62</v>
      </c>
      <c r="M22" s="227">
        <f>(13783360.1-9348167.66)/1000</f>
        <v>4435.19244</v>
      </c>
      <c r="N22" s="228">
        <v>4164.74</v>
      </c>
      <c r="O22" s="228">
        <f>4109806.62/1000</f>
        <v>4109.80662</v>
      </c>
      <c r="P22" s="228">
        <f>4013964.84/1000</f>
        <v>4013.9648399999996</v>
      </c>
    </row>
    <row r="23" spans="13:15" ht="12.75">
      <c r="M23" s="236"/>
      <c r="O23" s="246"/>
    </row>
    <row r="24" spans="1:13" s="239" customFormat="1" ht="13.5">
      <c r="A24" s="237" t="s">
        <v>458</v>
      </c>
      <c r="B24" s="238" t="s">
        <v>459</v>
      </c>
      <c r="M24" s="240"/>
    </row>
    <row r="25" spans="2:11" s="239" customFormat="1" ht="13.5">
      <c r="B25" s="239" t="s">
        <v>460</v>
      </c>
      <c r="K25" s="241"/>
    </row>
    <row r="26" ht="12.75">
      <c r="K26" s="236"/>
    </row>
    <row r="27" ht="12.75">
      <c r="K27" s="236"/>
    </row>
    <row r="28" ht="12.75">
      <c r="K28" s="242"/>
    </row>
    <row r="30" spans="11:12" ht="13.5">
      <c r="K30" s="243"/>
      <c r="L30" s="239"/>
    </row>
    <row r="31" ht="12.75">
      <c r="K31" s="236"/>
    </row>
    <row r="32" ht="12.75">
      <c r="K32" s="236"/>
    </row>
    <row r="33" ht="12.75">
      <c r="K33" s="242"/>
    </row>
    <row r="35" spans="11:12" ht="13.5">
      <c r="K35" s="243"/>
      <c r="L35" s="239"/>
    </row>
    <row r="36" ht="12.75">
      <c r="K36" s="236"/>
    </row>
    <row r="37" ht="12.75">
      <c r="K37" s="236"/>
    </row>
    <row r="38" ht="12.75">
      <c r="K38" s="236"/>
    </row>
    <row r="40" spans="11:12" ht="12.75">
      <c r="K40" s="243"/>
      <c r="L40" s="244"/>
    </row>
    <row r="41" spans="11:13" ht="12.75">
      <c r="K41" s="245"/>
      <c r="L41" s="246"/>
      <c r="M41" s="246"/>
    </row>
    <row r="42" spans="11:13" ht="12.75">
      <c r="K42" s="245"/>
      <c r="L42" s="246"/>
      <c r="M42" s="246"/>
    </row>
    <row r="43" spans="11:12" ht="12.75">
      <c r="K43" s="242"/>
      <c r="L43" s="244"/>
    </row>
    <row r="45" ht="12.75">
      <c r="K45" s="247"/>
    </row>
    <row r="46" ht="12.75">
      <c r="K46" s="247"/>
    </row>
    <row r="47" ht="12.75">
      <c r="K47" s="247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2022-07-25T07:52:51Z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