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737" activeTab="2"/>
  </bookViews>
  <sheets>
    <sheet name="Титульный" sheetId="1" r:id="rId1"/>
    <sheet name="Общие сведения" sheetId="2" r:id="rId2"/>
    <sheet name="Госуслуги" sheetId="3" r:id="rId3"/>
    <sheet name="Персонал" sheetId="4" r:id="rId4"/>
    <sheet name="Руководители" sheetId="5" r:id="rId5"/>
    <sheet name="Инфраструктура" sheetId="6" r:id="rId6"/>
    <sheet name="Оборудование" sheetId="7" r:id="rId7"/>
    <sheet name="Коммунальные услуги" sheetId="8" r:id="rId8"/>
    <sheet name="Износ" sheetId="9" r:id="rId9"/>
    <sheet name="Расходы" sheetId="10" r:id="rId10"/>
    <sheet name="Предписания" sheetId="11" r:id="rId11"/>
  </sheets>
  <definedNames>
    <definedName name="_xlnm._FilterDatabase" localSheetId="2" hidden="1">'Госуслуги'!$A$6:$AG$98</definedName>
    <definedName name="Excel_BuiltIn__FilterDatabase" localSheetId="2">'Госуслуги'!$A$6:$AG$63</definedName>
    <definedName name="_xlnm.Print_Titles" localSheetId="9">'Расходы'!$6:$7</definedName>
    <definedName name="_xlnm.Print_Area" localSheetId="2">'Госуслуги'!$A$1:$E$62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Заработная плата 
</t>
        </r>
      </text>
    </comment>
    <comment ref="T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W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Начисления на заработную плату+ начисления по льготной дороге
</t>
        </r>
      </text>
    </comment>
    <comment ref="B14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Льготный проезд к отпуску и обратно
</t>
        </r>
      </text>
    </comment>
    <comment ref="B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весь 221</t>
        </r>
      </text>
    </comment>
    <comment ref="T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W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Пособие до 3-х лет + 3 дня за счет работодателя
</t>
        </r>
      </text>
    </comment>
    <comment ref="AF41" authorId="0">
      <text>
        <r>
          <rPr>
            <b/>
            <sz val="9"/>
            <color indexed="8"/>
            <rFont val="Tahoma"/>
            <family val="2"/>
          </rPr>
          <t xml:space="preserve">ЛБО
</t>
        </r>
      </text>
    </comment>
    <comment ref="AK4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  <comment ref="AP4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  <comment ref="AU4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  <comment ref="AZ4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9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G9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I9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E11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G11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I11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E12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G12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I12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E13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G13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I13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G14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I14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E16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G16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I16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E17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G17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I17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E18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G18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I18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G22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I22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G24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I24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E26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G26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I26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E27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G27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I27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8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G28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I28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9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G29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I29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E32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G32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I32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E33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G33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I33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E34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G34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I34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G35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I35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E36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G36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I36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E37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G37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I37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E39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G39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I39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E40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G40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I40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E42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G42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I42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E43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G43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I43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E44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G44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I44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E46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G46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I46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47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G47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I47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55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G55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I55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E59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  <comment ref="G59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  <comment ref="I59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</commentList>
</comments>
</file>

<file path=xl/sharedStrings.xml><?xml version="1.0" encoding="utf-8"?>
<sst xmlns="http://schemas.openxmlformats.org/spreadsheetml/2006/main" count="1232" uniqueCount="656">
  <si>
    <t>Паспорт государственного областного казенного учреждения - центра социальной поддержки населения</t>
  </si>
  <si>
    <t>Государственное областное казенное учреждение "Снежногорский межрайонный центр социальной поддержки населения"</t>
  </si>
  <si>
    <t>Разделы:</t>
  </si>
  <si>
    <t>1.</t>
  </si>
  <si>
    <t>Общие сведения</t>
  </si>
  <si>
    <t>2.</t>
  </si>
  <si>
    <t xml:space="preserve">Сведения об оказании государственных услуг </t>
  </si>
  <si>
    <t>3.</t>
  </si>
  <si>
    <t xml:space="preserve">Сведения о  персонале </t>
  </si>
  <si>
    <t>4.</t>
  </si>
  <si>
    <t xml:space="preserve">Сведения о руководящих работниках </t>
  </si>
  <si>
    <t>5.</t>
  </si>
  <si>
    <t xml:space="preserve">Сведения об инфраструктуре  </t>
  </si>
  <si>
    <t>6.</t>
  </si>
  <si>
    <t xml:space="preserve">Сведения об оборудовании </t>
  </si>
  <si>
    <t>7.</t>
  </si>
  <si>
    <t>Сведения о потреблении коммунальных услуг</t>
  </si>
  <si>
    <t>8.</t>
  </si>
  <si>
    <t xml:space="preserve">Сведения о стоимости и износе материальных средств </t>
  </si>
  <si>
    <t>9.</t>
  </si>
  <si>
    <t xml:space="preserve">Сведения о расходах </t>
  </si>
  <si>
    <t>10.</t>
  </si>
  <si>
    <t>Предписания надзорных органов</t>
  </si>
  <si>
    <t>ГОКУ "Снежногорский межрайонный центр социальной поддержки населения"</t>
  </si>
  <si>
    <t>(наименование ГОКУ)</t>
  </si>
  <si>
    <t>Наименование учреждения в соответствии с Уставом</t>
  </si>
  <si>
    <t>Предмет деятельности учреждения</t>
  </si>
  <si>
    <t>Предоставление населению государственной социальной помощи, субсидий на оплату жилого помещения и коммунальных услуг и мер социальной поддержки на обслуживаемой  территории в соответствии с законодательством Российской Федерации и законодательством Мурманской области</t>
  </si>
  <si>
    <t>Учредитель</t>
  </si>
  <si>
    <t>Министерство труда и  социального развития Мурманской области</t>
  </si>
  <si>
    <t>Юридический адрес учреждения</t>
  </si>
  <si>
    <t>184682, г.Снежногорск-2, ул.П.Стеблина, д.10</t>
  </si>
  <si>
    <t>Фактический адрес учреждения</t>
  </si>
  <si>
    <t>Телефон/Факс</t>
  </si>
  <si>
    <t>(81530)60-619/60-619</t>
  </si>
  <si>
    <t>E-mail</t>
  </si>
  <si>
    <t>Snegnogorsk@socmurman.ru</t>
  </si>
  <si>
    <t>Адрес интерент-страницы ГОКУ в сети Интернет</t>
  </si>
  <si>
    <t>нет</t>
  </si>
  <si>
    <t>Ф.И.О директора</t>
  </si>
  <si>
    <t>Гарагуля Ольга Николаевна</t>
  </si>
  <si>
    <t>Телефон директора</t>
  </si>
  <si>
    <t>(81530)60-615</t>
  </si>
  <si>
    <t>Ф.И.О заместителя директора</t>
  </si>
  <si>
    <t xml:space="preserve">Жирнова Лилия Николаевна </t>
  </si>
  <si>
    <t>Телефон</t>
  </si>
  <si>
    <t>(81530)609-57</t>
  </si>
  <si>
    <t>Ф.И.О главного бухгалтера</t>
  </si>
  <si>
    <t>Зубченко Оксана Викторвна</t>
  </si>
  <si>
    <t>(81530)63-630</t>
  </si>
  <si>
    <t>Год создания учреждения</t>
  </si>
  <si>
    <t>Занимаемые площади (кв.м):</t>
  </si>
  <si>
    <t>Документы, дающие право деятельности</t>
  </si>
  <si>
    <t>Устав (сведения об утверждении)</t>
  </si>
  <si>
    <t>Устав</t>
  </si>
  <si>
    <t>Свительство о государственной регистрации юр.лица (ОГРН)</t>
  </si>
  <si>
    <t>Свидетельство о постановке на учет юр.лица в налоговом органе (ИНН)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</si>
  <si>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</si>
  <si>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Свидетельство о государственной регистрации права 51-АВ 282537 от 05.12.2011г. бессрочно;                               Свидетельство о государственной регистрации права 51-АВ 282538 от 05.12.2011г. бессрочно;  Свидетельство о государственной регистрации права 51-АГ 022275 от 25.01.2016г. бессрочно;       Свидетельство о государственной регистрации права 51-АГ 022276 от 26.01.2016г. бессрочно.</t>
  </si>
  <si>
    <t>Договор, подверждающий право на владение, пользование имуществом (дата, номер, срок действия)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</si>
  <si>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</si>
  <si>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Сведения о структурных подразделениях</t>
  </si>
  <si>
    <t>Количество структурных подразделений</t>
  </si>
  <si>
    <t>-</t>
  </si>
  <si>
    <t xml:space="preserve">Наименование структурных подразделений </t>
  </si>
  <si>
    <t>Адрес структурного подразделения</t>
  </si>
  <si>
    <t>Адрес в сети Интернет</t>
  </si>
  <si>
    <t>Ф.И.О. руководителя структурного подразделения</t>
  </si>
  <si>
    <t>Телефон руководителя структурного подразделения</t>
  </si>
  <si>
    <t>Сведения о реализуемых проектах</t>
  </si>
  <si>
    <t>Наименование проекта (программы)</t>
  </si>
  <si>
    <t>Уровень утверждения (областной, муниципальный, ведомственый, межведомственный др.)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</si>
  <si>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</si>
  <si>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</si>
  <si>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</si>
  <si>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</si>
  <si>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>Сведения об обслуживаемой территории</t>
  </si>
  <si>
    <t>Общая площадь, обслуживаемая учреждением (кв.км)</t>
  </si>
  <si>
    <t>Административное деление</t>
  </si>
  <si>
    <t>ЗАТО Заозерск, ЗАТО Видяево, ЗАТО Александровск (г.Гаджиево, г.Полярный, г.Снежногорск)</t>
  </si>
  <si>
    <t>Сведения об обслуживаемом  населении</t>
  </si>
  <si>
    <t>Численность  населения, проживающего на обслуживаемой территории, всего (тыс. чел.)</t>
  </si>
  <si>
    <t>В том числе:</t>
  </si>
  <si>
    <t>мужчин *</t>
  </si>
  <si>
    <t>женщин*</t>
  </si>
  <si>
    <t>детей до 18 лет</t>
  </si>
  <si>
    <t>*- информация платная, стоимость справки 130 руб. По ЗАТО статистика направляет информацию только по закрытым каналам связи.</t>
  </si>
  <si>
    <t>Сведения об оказании государственных услуг</t>
  </si>
  <si>
    <t>Предоставлемые услуги</t>
  </si>
  <si>
    <t>Основание предоставления услуги (НПА)</t>
  </si>
  <si>
    <t>Расходы (рублей)</t>
  </si>
  <si>
    <t>Предоставление малоимущим семьям и малоимущим одиноко проживающим гражданам адресной государственной социальной помощи</t>
  </si>
  <si>
    <t xml:space="preserve">Закон Мурманской  области от 23.12.2004 № 549-01-ЗМО "О государственной социальной помощи в Мурманской области" </t>
  </si>
  <si>
    <t>Предоставление неработающим пенсионерам региональной социальной доплаты к пенсии до величины прожиточного минимума</t>
  </si>
  <si>
    <t>Предоставление социальной поддержки малоимущим семьям, имеющим детей,  в виде ежемесячного пособия на ребенка</t>
  </si>
  <si>
    <t>Предоставление отдельным категориям граждан из числа региональных льготников мер социальной поддержки в виде региональной ежемесячной денежной выплаты, в т.ч.:</t>
  </si>
  <si>
    <t>Закон Мурманской  области от 23.12.2004 № 550-01-ЗМО "О мерах социальной поддержки отдельных категорий граждан"</t>
  </si>
  <si>
    <t>ветеранам труда и лицам, приравненным к ним по состоянию на 31.12.2004</t>
  </si>
  <si>
    <t>труженикам тыла</t>
  </si>
  <si>
    <t>реабилитированным лицам и лицам, признанным пострадавщими от политических репрессий</t>
  </si>
  <si>
    <t>пенсионерам по старости - не льготникам (женщины с 55 лет, мужчины с 60 лет)</t>
  </si>
  <si>
    <t>Предоставление ежемесячной жилищно-коммунальной выплаты, в т.ч.:</t>
  </si>
  <si>
    <t>Возмещение стоимости услуг, связанных с погребением реабилитированных лиц</t>
  </si>
  <si>
    <t>Возмещение стоимости услуг по установке квартирных телефонов реабилитированным лицам</t>
  </si>
  <si>
    <t>Выплата разницы в стоимости единого социального проездного билета и суммы ЕДВ, размер которой ниже стоимости ЕСПБ</t>
  </si>
  <si>
    <t>Предоставление ежемесячной жилищно-коммунальной выплаты отдельны категориям граждан из числа федеральных льготников, в том числе:</t>
  </si>
  <si>
    <t>Закон Мурманской области от 29.06.2009 № 1116-01-ЗМО "О реализации переданных РФ субъектам РФ полномочий по предоставлению мер социальной поддержки отдельным категориям граждан по оплате ЖКУ"</t>
  </si>
  <si>
    <t xml:space="preserve"> - компенсации расходов на уплату взноса на капитальный ремонт отдельным категориям граждан</t>
  </si>
  <si>
    <t xml:space="preserve">Предоставление ежемесячной коммунальной выплаты многодетным семьям </t>
  </si>
  <si>
    <t>Закон Мурманской  области от 27.12.2004 № 567-01-ЗМО "О мерах социальной поддержки многодетных семей по оплате коммунальных услуг"</t>
  </si>
  <si>
    <t>Ежегодная единовременная денежная выплата ветеранам труда Мурманской области</t>
  </si>
  <si>
    <t>Закон Мурманской области от 26.10.2007 № 895-01-ЗМО "О ветеранах труда Мурманской области"</t>
  </si>
  <si>
    <t>Компенсация расходов на оплату стоимости проезда один раз в два года к месту отдыха и обратно ветеранам труда Мурманской области</t>
  </si>
  <si>
    <t>Предоставление единовременного пособия ветеранам труда Мурманской области при переезде на постоянное место жительства за пределы региона</t>
  </si>
  <si>
    <t>Возмещение расходов на оплату стоимости проезда железнодорожным транспортом в противотуберкулезный санаторий и обратно</t>
  </si>
  <si>
    <t>Закон Мурманской области от 16.06.1997 № 67-01-ЗМО "Об основах организации борьбы с туберкулезом в Мурманской области"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</si>
  <si>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</si>
  <si>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постановление Правительства Мурманской области от 27.12.2006 № 533-ПП "Об утверждении порядка выплаты инвалидам (в том числе детям-инвалидая), имеющим транспортные средства …"</t>
  </si>
  <si>
    <t>Назначение и выплата регионального единовременного пособия при рождении (усыновлении) одновременно двух и более детей</t>
  </si>
  <si>
    <t>постановление Правительства Мурманской области от 12.01.2011 № 1-ПП "О региональных единовременных пособиях"</t>
  </si>
  <si>
    <t>Назначение и выплата регионального единовременного пособия при поступлении ребенка в первый класс</t>
  </si>
  <si>
    <t>Назначение и выплата регионального единовременного пособия семейным парам, прожившим в зарегистрированном браке не менее 50, 60 и более лет</t>
  </si>
  <si>
    <t>Предосставление региональной единовременной выплаты родителям (усыновителям), награжденным орденом "Родительская слава", многодетным матерям, награжденным почетным знаком Мурманской области "Материнская слава"</t>
  </si>
  <si>
    <t xml:space="preserve">постановление Правительства Мурманской области от 05.08.2010 № 347-ПП "О региональное единовременной выплате к Международному дню семьи лицам, награжденным орденом "Родительская слава", многодетным матерям, награжденным почетным знаком Мурманской области </t>
  </si>
  <si>
    <t>Единовременная денежная выплата гражданам, родившимся в период с 23 июня 1923 года по 3 сентября 1945 года</t>
  </si>
  <si>
    <t>постановление Правительства Мурманской области от 11.01.2008 № 3-ПП "О дополнительных мерах социальной поддержки отдельных категорий граждан"</t>
  </si>
  <si>
    <t>Единовременная денежная выплата ветеранам в связи с празднованием Дня Победы в Великой Отечественной войне 1941-1945гг.</t>
  </si>
  <si>
    <t>постановление Правительства Мурманской области от 12.02.2008 № 49-ПП/2 "О дополнительных мерах социальной поддержки отдельных категорий ветеранов и членов их семей"</t>
  </si>
  <si>
    <t>Единовременная денежная выплата в связи с празднованием разгрома немецко-фашистских войск в Заполярье</t>
  </si>
  <si>
    <t>Единовременная денежная выплата в связи с празднованием Дня защитника Отечества</t>
  </si>
  <si>
    <t xml:space="preserve">Предоставление региональной единовременной выплаты семьям, имеющим детей больных фенилкетонурией </t>
  </si>
  <si>
    <t>постановление Правительства Мурманской области от 12.05.2011 № 232-ПП "О предоставлении региональной единовременной выплаты семьям, имеющим детей, больных фенилкетонурией"</t>
  </si>
  <si>
    <t xml:space="preserve">Возмещение и компенсация расходов по предоставлению мер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 и проживающим совместно </t>
  </si>
  <si>
    <t>постановление Правительства Мурманской области от 11.02.2007 № 221-ПП</t>
  </si>
  <si>
    <t>Предоставление гражданам субсидий на оплату жилых помещений и коммунальных услуг</t>
  </si>
  <si>
    <t>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</si>
  <si>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Предоставление ежегодной денежной выплаты гражданам, награжденным нагрудным знаком "Почетный донор России" или "Почетный донор СССР"</t>
  </si>
  <si>
    <t>Закон Российской Федерации от 09.06.1993 № 5142-1 "О донорстве крови и ее компонентов"</t>
  </si>
  <si>
    <t>Назначение и выплата социального пособия на погребение</t>
  </si>
  <si>
    <t>Федеральный закон от 19.05.1995 № 81-ФЗ "О государственных пособиях гражданам, имеющим детей"</t>
  </si>
  <si>
    <t>Назначение и выплата единовременного пособия женщинам, вставшим на учет в медицинские учреждения в ранние сроки беременности (до двенадцати недель)</t>
  </si>
  <si>
    <t>Назначение и выплата единовременного пособия при рождении ребенка, родители которого либо лицо, их заменяющее, не работают (не служат)</t>
  </si>
  <si>
    <t>Назначение и выплата ежемесячного пособия по уходу за ребенком гражданам, фактически осуществляющим уход за ребенком и не подлежащим социальному страхованию на случай временной нетрудоспособности</t>
  </si>
  <si>
    <t xml:space="preserve">Назначени и выплата ежемесячного пособия по уходу за ребенком гражданам, фактически осуществляющим уход за ребенком, уволенным в период отпуска по уходу за ребенком в связи с ликвидацией </t>
  </si>
  <si>
    <t>Назначение и выплата ежемесячного пособия на ребенка военнослужащего, проходящего военную службу по призыву</t>
  </si>
  <si>
    <t>Назначение и выплата единовременного пособия на ребенка военнослужащего, проходящего военную службу по призыву</t>
  </si>
  <si>
    <t xml:space="preserve">Назначение и выплата пособия по беременности и родам женщинам, уволенным в связи с ликвидацией организаций </t>
  </si>
  <si>
    <t>Ежемесячные компенсационные выплаты нетрудоустроенным женщинам, имеющим детей в возрасте до трех лет, уволенным в связи с ликвидацией организации</t>
  </si>
  <si>
    <t xml:space="preserve">Указ Президента РФ от 05.11.1992 № 1335;
письмо Министерства финансов РФ от 11.03.1993 № 23 (регистрация в Минюсте РФ)
</t>
  </si>
  <si>
    <t xml:space="preserve">Пособия гражданам, у которых возникли поствакцинальные осложнения: </t>
  </si>
  <si>
    <t>Федеральный закон от 17.09.1998 № 157-ФЗ "Об иммунопрофилактике инфекционных болезней"</t>
  </si>
  <si>
    <t>Пособие на проведение летнего оздоровительного отдыха детей</t>
  </si>
  <si>
    <t>Постановление Правительства Российской Федерации от 29.12.2008 № 1051 "О порядке предоставления пособий на проведение летнего оздоровительного отдыха детей отдельных категорий военнослужащих ..."</t>
  </si>
  <si>
    <t>Социальная поддержка граждан подвергшихся воздействию радиации</t>
  </si>
  <si>
    <t xml:space="preserve">Закон РФ от 15.05.1991 N 1244-1 "О социальной защите граждан, подвергшихся воздействию радиации вследствие катастрофы на Чернобыльской АЭС") Федеральный закон от 10.01.2002 N 2-ФЗ "О социальных гарантиях гражданам, подвергшимся радиационному воздействию вследствие ядерных испытаний на Семипалатинском полигоне" 
</t>
  </si>
  <si>
    <t>Ежемесячное пособие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 по контракту</t>
  </si>
  <si>
    <t>Постановление Правительства РФ от 30.06.2010 N 481 "О ежемесячном пособии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обязанностей)"</t>
  </si>
  <si>
    <t>Ежемесячная денежная выплата нуждающимся в поддержке семьям при рождении третьего и последующих детей до достижения ребенком возраста трех лет</t>
  </si>
  <si>
    <t>постановление Правительства Мурманской области от 01.08.2012 № 393-ПП- "О предоставлении ежемесячой денежной выплаты нуждающимся в поддержке семьям при рождении третьего и последующих детей до достижения ребенком возраста трех лет"</t>
  </si>
  <si>
    <t>Выдача сертификатов на региональный материнский (семейный) капитал для реализации дополнительных мер социаьной поддержки</t>
  </si>
  <si>
    <t>Закон Мурманской области от 19.12.2011 № 1447-01-ЗМО "О дополнительных мерах социальной поддержки семей с детьми в Мурманской области"</t>
  </si>
  <si>
    <t>Распоряжение средствами (частью средств) регионального материнского (семейного) капитала в Мурманской области</t>
  </si>
  <si>
    <t>постановление Правительства Мурманской области от 23.11.2012 № 589-ПП- "О порядке распоряжения средствами (частью средств) регионального материнского (семейного) капитала в Мурманской области</t>
  </si>
  <si>
    <t>Компенсация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помощи.</t>
  </si>
  <si>
    <t>Постановление Правительства Мурманской области от 14.08.2012 № 407-ПП "О компенсации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помощи".</t>
  </si>
  <si>
    <t xml:space="preserve">Ежемесячная выплата в связи с рождением (усыновлением) первого  ребенка </t>
  </si>
  <si>
    <t>Федеральный закон N418-ФЗ от 28.12.2017</t>
  </si>
  <si>
    <t xml:space="preserve">Ежемесячная денежная выплата при рождении первого ребенка до достижения возраста полутора лет </t>
  </si>
  <si>
    <t xml:space="preserve"> Закон Мурманской области №2216-01-ЗМО от 22.12.2017</t>
  </si>
  <si>
    <t xml:space="preserve">Назначение ежемесячной денежной выплаты   на ребенка в возрасте от 3 до 7 лет включительно </t>
  </si>
  <si>
    <t>Закон  Мурманской области от 10.04.2020 N 2475-01-ЗМО "О ежемесячной денежной выплате на ребенка в возрасте от трех до семи лет включительно"</t>
  </si>
  <si>
    <t>Чествование ветеранов ВОВ</t>
  </si>
  <si>
    <t xml:space="preserve">Постановление Правительства Мурманской области от 18.04.2013 N 197-ПП "Об организации чествования ветеранов Великой Отечественной войны в вязи с юбилейными днями рождения"
</t>
  </si>
  <si>
    <t>Выплата инвалидам компенсации по договорам страхования транспортных средств</t>
  </si>
  <si>
    <t>Постановление Правительства Мурманской области от 27.12.2006 N 533-ПП "Об утверждении Порядка выплаты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средств"</t>
  </si>
  <si>
    <t>Ежемесячная денежная выплата на оплату жилого помещения и коммунальных услуг гражданам, родившимся в период с 23.06.1923 по 03.09.1945</t>
  </si>
  <si>
    <t>Закон Мурманской области от 06.12.2019 N 2431-01-ЗМО "О детях Великой Отечественной войны в Мурманской области"</t>
  </si>
  <si>
    <t>Предоставления ежемесячной денежной выплаты на оплату жилого помещения и (или) коммунальных услуг  бывшим специалистам, работающим в сельских населенных пунктах</t>
  </si>
  <si>
    <t>Закон Мурманской области от 27.12.2004 N 561-01-ЗМО "О мерах социальной поддержки отдельных категорий граждан, работающих в сельских населенных пунктах или поселках городского типа"</t>
  </si>
  <si>
    <t>постановление Правительства Мурманской области от 16.03.2009 № 123-ПП «О материальной помощи пенсионерам и инвалидам, оказавшимся в трудной жизненной ситуации»</t>
  </si>
  <si>
    <t>Выдача справок о  назначении государственной социальной помощи</t>
  </si>
  <si>
    <t xml:space="preserve">Приказ Министерства социального развития Мурманской области от 11.12.2018 N 571 </t>
  </si>
  <si>
    <t xml:space="preserve">Присвоение звания ветеран труда </t>
  </si>
  <si>
    <t>Приказ Минсоцразвития Мурманской области от 27.06.2016 N 463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"Присвоение звания "Ветеран труда" и выдача удостоверения ветерана труда"</t>
  </si>
  <si>
    <t>Выдача удостоверения ветеран  труда</t>
  </si>
  <si>
    <t>Присвоение звания ветеран труда  МО</t>
  </si>
  <si>
    <t>Приказ Минтрудсоцразвития Мурманской области от 27.12.2013 N 732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"Организация работы по установлению статуса ветерана труда Мурманской области"</t>
  </si>
  <si>
    <t>Выдача удостоверения ветеран  труда МО</t>
  </si>
  <si>
    <t>Установление статуса ветерана Великой Отечественной войны, ветерана боевых действий, иных категорий граждан, установленных Федеральным законом «О ветеранах», бывшего несовершеннолетнего узника концлагерей, гетто и других мест принудительного содержания, созданных фашистами и их союзниками в период второй мировой войны, и выдаче соответствующих удостоверений</t>
  </si>
  <si>
    <t xml:space="preserve">Приказ Министерства труда и социального развития Мурманской области  от 14.10.2020 № 613
</t>
  </si>
  <si>
    <t>Оформление и выдача удостоверения отдельным категориям граждан, получивших или перенесших лучевую болезнь и другие заболевания, связанные с радиационным воздействием вследствие чернобыльской кататсрофы или с работами по ликвидации последствий катастрофы на Чернобыльской АЭС; инвалидов вследствие чернобыльской катастрофы</t>
  </si>
  <si>
    <t>Закон РФ от 15.05.1991 № 1244-1; приказ МЧС РФ, Минздравсоцразвития РФ, Минфина РФ от 08.12.2006 № 728/832/166н</t>
  </si>
  <si>
    <t>Расчет размеров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</si>
  <si>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Постановление Правительства РФ от 02.08.2005 N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</t>
  </si>
  <si>
    <t>Ежемесячная денежная компенсация, установленная частями 9, 10 и 13 статьи 3 ФЗ "О денежном довольствии военнослужащих и предоставлении им отдельных выплат"</t>
  </si>
  <si>
    <t>постановление Правительства РФ от 22.02.2012 № 142" О финансовом обеспечении и об осуществлении ежемесячной денежной компенсации, установленная частями 9, 10 и 13 статьи 3 ФЗ "О денежном довольствии военнослужащих и предоставлении им отдельных выплат"</t>
  </si>
  <si>
    <t>Оформление и выдача удостоверения участника ликвидации последствий катастрофы на Чернобыльской АЭС</t>
  </si>
  <si>
    <t xml:space="preserve">Закон РФ от 15.05.1991 № 1244-1;
приказ МЧС РФ, Минздравсоцразвития РФ, Минфина РФ от 08.12.2006 № 727/831/165н
</t>
  </si>
  <si>
    <t xml:space="preserve">Сведения о персонале </t>
  </si>
  <si>
    <t>№ п/п</t>
  </si>
  <si>
    <t>Параметр</t>
  </si>
  <si>
    <t>Ед. измерения</t>
  </si>
  <si>
    <t>Данные на 01.01.2009, 01.11.2009</t>
  </si>
  <si>
    <t>Данные на 01.01.2010</t>
  </si>
  <si>
    <t>Данные на 01.01.2011</t>
  </si>
  <si>
    <t>Данные на 01.01.2012</t>
  </si>
  <si>
    <t>Данные на 01.01.2013</t>
  </si>
  <si>
    <t>Данные на 01.01.2014</t>
  </si>
  <si>
    <t>Данные на 01.07.2014</t>
  </si>
  <si>
    <t>Данные на 01.01.2015</t>
  </si>
  <si>
    <t>данные на 01.07.2015</t>
  </si>
  <si>
    <t>Данные на 01.01.2016</t>
  </si>
  <si>
    <t>данные на 01.07.2016</t>
  </si>
  <si>
    <t>данные на 01.01.2017</t>
  </si>
  <si>
    <t>данные на 01.07.2017</t>
  </si>
  <si>
    <t>данные на 01.01.2018</t>
  </si>
  <si>
    <t>данные на 01.07.2018</t>
  </si>
  <si>
    <t>данные на 01.01.2019</t>
  </si>
  <si>
    <t>данные на 01.07.2019</t>
  </si>
  <si>
    <t>данные на 01.01.2020</t>
  </si>
  <si>
    <t>данные на 01.07.2020</t>
  </si>
  <si>
    <t>данные на 01.01.2021</t>
  </si>
  <si>
    <t>данные на 01.07.2021</t>
  </si>
  <si>
    <t>данные на 01.01.2022</t>
  </si>
  <si>
    <t>Физические лица</t>
  </si>
  <si>
    <t>чел.</t>
  </si>
  <si>
    <t>руководящие работники, в т.ч.</t>
  </si>
  <si>
    <t>директор</t>
  </si>
  <si>
    <t xml:space="preserve">заместители директора </t>
  </si>
  <si>
    <t>главный бухгалтер</t>
  </si>
  <si>
    <t>руководители структурных подразделений</t>
  </si>
  <si>
    <t>специалисты</t>
  </si>
  <si>
    <t>администратор баз данных</t>
  </si>
  <si>
    <t>юрисконсульт</t>
  </si>
  <si>
    <t>обслуживающий персонал</t>
  </si>
  <si>
    <t>Штатное расписание</t>
  </si>
  <si>
    <t>Всего, из них</t>
  </si>
  <si>
    <t>ставка</t>
  </si>
  <si>
    <t>руководители структурных подрзделений</t>
  </si>
  <si>
    <t>Количество работающих пенсионеров</t>
  </si>
  <si>
    <t>Образовательный уровень</t>
  </si>
  <si>
    <t>имеют высшее образование</t>
  </si>
  <si>
    <t>имеют среднее специальное образование</t>
  </si>
  <si>
    <t>обучаются в ВУЗах, в том числе:</t>
  </si>
  <si>
    <t>получают первое высшее образование</t>
  </si>
  <si>
    <t>получают второе высшее образование</t>
  </si>
  <si>
    <t>получают  третье и последующее высшее образование</t>
  </si>
  <si>
    <t>Стаж работы</t>
  </si>
  <si>
    <t xml:space="preserve"> </t>
  </si>
  <si>
    <t>до 5 лет</t>
  </si>
  <si>
    <t>от 5 до 10 лет</t>
  </si>
  <si>
    <t>от 10 до 20 лет</t>
  </si>
  <si>
    <t>более 20 лет</t>
  </si>
  <si>
    <t>Показатель на отчетную дату</t>
  </si>
  <si>
    <t xml:space="preserve">Руководитель </t>
  </si>
  <si>
    <t>Дата назначения на должность</t>
  </si>
  <si>
    <t>06.11.2009 г.</t>
  </si>
  <si>
    <t>Тип назначения (конкурс, назначение)</t>
  </si>
  <si>
    <t>назначение</t>
  </si>
  <si>
    <t>Сроки последнего контракта</t>
  </si>
  <si>
    <t>на неопределенный срок</t>
  </si>
  <si>
    <t>Наличие совмещения должностей</t>
  </si>
  <si>
    <t>4.1.</t>
  </si>
  <si>
    <t>Наименование совмещаемой должности</t>
  </si>
  <si>
    <t>Сведения о поощрениях, награждениях (за период с начала года)</t>
  </si>
  <si>
    <t>Сведения о взысканиях (за период с начала года, а также не снятых взысканиях на отчетную дату)</t>
  </si>
  <si>
    <t>Заместитель руководителя*</t>
  </si>
  <si>
    <t>01.03.2013 г.</t>
  </si>
  <si>
    <t xml:space="preserve">не определенный срок </t>
  </si>
  <si>
    <t>Наличие категории</t>
  </si>
  <si>
    <t>11.</t>
  </si>
  <si>
    <t>Дата присвоения</t>
  </si>
  <si>
    <t>12.</t>
  </si>
  <si>
    <t>Срок действия</t>
  </si>
  <si>
    <t xml:space="preserve">Сведения об инфраструктуре </t>
  </si>
  <si>
    <t>Ед.измерения</t>
  </si>
  <si>
    <t xml:space="preserve">Показатель на отчетную дату </t>
  </si>
  <si>
    <t>Здание</t>
  </si>
  <si>
    <t>Количество зданий</t>
  </si>
  <si>
    <t>ед.</t>
  </si>
  <si>
    <t>Площадь зданий</t>
  </si>
  <si>
    <t>м.кв.</t>
  </si>
  <si>
    <t>общая</t>
  </si>
  <si>
    <t>полезная</t>
  </si>
  <si>
    <t>отапливаемая</t>
  </si>
  <si>
    <t>занимаемая по договорам аренды</t>
  </si>
  <si>
    <t>сдаваемая в аренду</t>
  </si>
  <si>
    <t>Год постройки</t>
  </si>
  <si>
    <t>Этажность</t>
  </si>
  <si>
    <t>этаж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</si>
  <si>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</si>
  <si>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</si>
  <si>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</si>
  <si>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центральное</t>
  </si>
  <si>
    <t>от собственной котельной</t>
  </si>
  <si>
    <t>печное</t>
  </si>
  <si>
    <t>Количество зданий, имеющих централизованное горячее водоснабжение</t>
  </si>
  <si>
    <t>Количество зданий, имеющих электроснабжение</t>
  </si>
  <si>
    <t>Количество зданий снабженных теплосчетчиками</t>
  </si>
  <si>
    <t>Количество теплосчетчиков</t>
  </si>
  <si>
    <t>Количество зданий снабженных водосчетчиками</t>
  </si>
  <si>
    <t>Количество водосчетчиков</t>
  </si>
  <si>
    <t>Количество зданий, оборудованных АПС</t>
  </si>
  <si>
    <t>из них количество зданий, оборудованных неисправной АПС</t>
  </si>
  <si>
    <t>Количество АПС, выведенных на пульт подразделения пожарной охраны</t>
  </si>
  <si>
    <t>Количество зданий, оборудованных системой оповещения и управления эвакуацией людей при пожаре в здании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</si>
  <si>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</si>
  <si>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</si>
  <si>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 xml:space="preserve">из них количество зданий, оборудованных неисправным противопожарным водоснабжение здания </t>
  </si>
  <si>
    <t>Количество зданий, оборудованных прямой телефонной связью с подразделением пожарной охраны</t>
  </si>
  <si>
    <t>из них количество зданий, оборудованных несиправной прямой телефонной связью с подразделением пожарной охраны</t>
  </si>
  <si>
    <t>Количество зданий, состояние эвакуационных путей и выходов которых соответствуют требованиям пожарной безопасности</t>
  </si>
  <si>
    <t>Количество зданий, состояние эвакуационных путей и выходов которых не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</si>
  <si>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</si>
  <si>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1 - имееются,                                    2 - отсутствуют,                                               3 - обеспечены в полном объеме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</si>
  <si>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</si>
  <si>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</si>
  <si>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</si>
  <si>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>Количество зданий, оборудованных внешней системой видеонаблюдения</t>
  </si>
  <si>
    <t>из них количество зданий, оборудованных неисправной внешней системой видеонаблюдения</t>
  </si>
  <si>
    <t>Количество зданий, оборудованных внутренней системой видеонаблюдения</t>
  </si>
  <si>
    <t>из них количество зданий, оборудованных неисправной внутренней системой видеонаблюдения</t>
  </si>
  <si>
    <t>Количество огнетушителей</t>
  </si>
  <si>
    <t>Количество зданий, оборудованных охранной сигнализацией</t>
  </si>
  <si>
    <t>из них количество зданий, оборудованных неисправной охранной сигнализацией</t>
  </si>
  <si>
    <t>Количество зданий, оборудованных КТС</t>
  </si>
  <si>
    <t>из них количество зданий, оборудованных неисправной КТС</t>
  </si>
  <si>
    <t>Наличие охраны:</t>
  </si>
  <si>
    <t>физическая охрана (сторож, вахта)</t>
  </si>
  <si>
    <t>да/нет</t>
  </si>
  <si>
    <t>вневедомственная охрана</t>
  </si>
  <si>
    <t>ЧОП</t>
  </si>
  <si>
    <t>Количество сторожей при наличии физической охраны</t>
  </si>
  <si>
    <t>штат.ед.</t>
  </si>
  <si>
    <t xml:space="preserve">Наличие прямой телефонной связи с </t>
  </si>
  <si>
    <t>МВД</t>
  </si>
  <si>
    <t>находящихся в исправном состоянии</t>
  </si>
  <si>
    <t>признанных ветхими</t>
  </si>
  <si>
    <t>нуждается в реконструкции</t>
  </si>
  <si>
    <t>находится в аварийном состоянии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</si>
  <si>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</si>
  <si>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</si>
  <si>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имеющих металлические входные двери в здание</t>
  </si>
  <si>
    <t>Помещения*</t>
  </si>
  <si>
    <t xml:space="preserve">Количество комнат (кабинетов) </t>
  </si>
  <si>
    <t>Их площадь</t>
  </si>
  <si>
    <t>Количество комнат отдыха</t>
  </si>
  <si>
    <t xml:space="preserve">Наличие актового зала </t>
  </si>
  <si>
    <t>Его площадь</t>
  </si>
  <si>
    <t xml:space="preserve">Наличие комнаты дежурного </t>
  </si>
  <si>
    <t>Ее площадь</t>
  </si>
  <si>
    <t>Количество кабинетов управленческого персонала</t>
  </si>
  <si>
    <t>Вспомогательные помещения</t>
  </si>
  <si>
    <t>Гаражи</t>
  </si>
  <si>
    <t>Мастерские</t>
  </si>
  <si>
    <t xml:space="preserve">Другие помещения </t>
  </si>
  <si>
    <t>Земельные участки</t>
  </si>
  <si>
    <t>Количество земельных участков</t>
  </si>
  <si>
    <t>Договор безвоздмезного временного пользования недвижимым муниципальным имуществом № 307 от 01.11.2009г. (Общая площадь 24,6)</t>
  </si>
  <si>
    <t>Сведения об оборудовании</t>
  </si>
  <si>
    <t>Компьютеры</t>
  </si>
  <si>
    <t>Количество ПК</t>
  </si>
  <si>
    <t>шт.</t>
  </si>
  <si>
    <t>Количество ноутбуков</t>
  </si>
  <si>
    <t>Количество серверов</t>
  </si>
  <si>
    <t>Наличие единой локальной сети</t>
  </si>
  <si>
    <t>1-да, 2-нет</t>
  </si>
  <si>
    <t>Количество ПК в сети</t>
  </si>
  <si>
    <t>Наличие подключения к сети Интернет</t>
  </si>
  <si>
    <t>Тип подключения к сети Интернет (наземный, спутниковый)</t>
  </si>
  <si>
    <t>1-наземный,       2-спутниковый</t>
  </si>
  <si>
    <t>Скорость доступа к сети Интернет</t>
  </si>
  <si>
    <t>Мбит/с</t>
  </si>
  <si>
    <t>Количество ПК, имеющих выход в Интернет</t>
  </si>
  <si>
    <t>Автотранспорт</t>
  </si>
  <si>
    <t xml:space="preserve">Количество а/м </t>
  </si>
  <si>
    <t>В них пассажирских мест</t>
  </si>
  <si>
    <t>Количество а/м для хоз.нужд</t>
  </si>
  <si>
    <t>Иная техника</t>
  </si>
  <si>
    <t>Другая техника*</t>
  </si>
  <si>
    <t>* заполняется при наличии</t>
  </si>
  <si>
    <t>Ед. изм.</t>
  </si>
  <si>
    <t>фактически в 2009</t>
  </si>
  <si>
    <t>фактически в 2010</t>
  </si>
  <si>
    <t>фактически в 2011</t>
  </si>
  <si>
    <t>фактически в 2012</t>
  </si>
  <si>
    <t>план на 2013</t>
  </si>
  <si>
    <t>фактически в 2013</t>
  </si>
  <si>
    <t>план на 2014</t>
  </si>
  <si>
    <t>Фактически 2014 год</t>
  </si>
  <si>
    <t>план на 2015</t>
  </si>
  <si>
    <t>Фактически 2015 год</t>
  </si>
  <si>
    <t>план на 2016</t>
  </si>
  <si>
    <t>Фактически 2016 год</t>
  </si>
  <si>
    <t>план на 2017</t>
  </si>
  <si>
    <t>Фактически 2017 год</t>
  </si>
  <si>
    <t>план на 2018</t>
  </si>
  <si>
    <t>Фактически 2018 год</t>
  </si>
  <si>
    <t>план на 2019</t>
  </si>
  <si>
    <t>Фактически 2019 год</t>
  </si>
  <si>
    <t>план на 2020</t>
  </si>
  <si>
    <t>Фактически 2020 год</t>
  </si>
  <si>
    <t>Объемы потребления</t>
  </si>
  <si>
    <t>Холодная вода</t>
  </si>
  <si>
    <t>м.куб.</t>
  </si>
  <si>
    <t>Холодное водоотведение</t>
  </si>
  <si>
    <t>Горячая вода</t>
  </si>
  <si>
    <t>Гкал</t>
  </si>
  <si>
    <t>Отопление</t>
  </si>
  <si>
    <t>Электроэнергия</t>
  </si>
  <si>
    <t>Квт/час</t>
  </si>
  <si>
    <t>Тарифы</t>
  </si>
  <si>
    <t>руб.</t>
  </si>
  <si>
    <t xml:space="preserve">Сведения о стоимости и износе 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</si>
  <si>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</si>
  <si>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</si>
  <si>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</si>
  <si>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</si>
  <si>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</si>
  <si>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</si>
  <si>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</si>
  <si>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 xml:space="preserve"> 2017 год</t>
  </si>
  <si>
    <t>2018 год</t>
  </si>
  <si>
    <t>2019 год</t>
  </si>
  <si>
    <t>2020 год</t>
  </si>
  <si>
    <t>Балансовая стоимость зданий*</t>
  </si>
  <si>
    <t>тыс.руб.</t>
  </si>
  <si>
    <t>Фактический физический износ</t>
  </si>
  <si>
    <t>%</t>
  </si>
  <si>
    <t>Оценочная стоимость</t>
  </si>
  <si>
    <t>Техническое состояние зданий</t>
  </si>
  <si>
    <t>4.2.</t>
  </si>
  <si>
    <t>требует реконструкии</t>
  </si>
  <si>
    <t>4.3.</t>
  </si>
  <si>
    <t>требует капитального ремонта</t>
  </si>
  <si>
    <t>Балансовая стоимость основных средств</t>
  </si>
  <si>
    <t>Износ (амортизация) основных средств:</t>
  </si>
  <si>
    <t>6.1.</t>
  </si>
  <si>
    <t>оборудования</t>
  </si>
  <si>
    <t>6.2.</t>
  </si>
  <si>
    <t>мебели</t>
  </si>
  <si>
    <t>6.3.</t>
  </si>
  <si>
    <t>спальной мебели</t>
  </si>
  <si>
    <t>6.4.</t>
  </si>
  <si>
    <t>компьютерной техники и оргтехники</t>
  </si>
  <si>
    <t>6.5.</t>
  </si>
  <si>
    <t>6.6.</t>
  </si>
  <si>
    <t>технологического оборудования</t>
  </si>
  <si>
    <t>6.7.</t>
  </si>
  <si>
    <t>автотранспорта</t>
  </si>
  <si>
    <t>Остаточная стоимость основных средств</t>
  </si>
  <si>
    <t>*</t>
  </si>
  <si>
    <t>Читать вместо "зданий" помещений</t>
  </si>
  <si>
    <t>Износ в таблице указан накопленный.</t>
  </si>
  <si>
    <t>(название ГОКУ)</t>
  </si>
  <si>
    <t>Наименование расходов</t>
  </si>
  <si>
    <t>ЭКР</t>
  </si>
  <si>
    <t>Код строки</t>
  </si>
  <si>
    <t>БР 2010, тыс. руб.</t>
  </si>
  <si>
    <t>Касса 2010, тыс.руб.</t>
  </si>
  <si>
    <t>% испол-нения БР 2010</t>
  </si>
  <si>
    <t>БР 2011, тыс. руб.</t>
  </si>
  <si>
    <t>Касса 2011, тыс.руб.</t>
  </si>
  <si>
    <t>% испол-нения БР 2011</t>
  </si>
  <si>
    <t>БР 2012, тыс. руб.</t>
  </si>
  <si>
    <t>Касса 2012, тыс.руб.</t>
  </si>
  <si>
    <t>% испол-нения БР 2012</t>
  </si>
  <si>
    <t>БР 2013, тыс. руб.</t>
  </si>
  <si>
    <t>Касса 2013, тыс.руб.</t>
  </si>
  <si>
    <t>% испол-нения БР 2013</t>
  </si>
  <si>
    <t>БР 2014, тыс. руб.</t>
  </si>
  <si>
    <t>Касса 2014, тыс.руб.</t>
  </si>
  <si>
    <t>% испол-нения БР 2014</t>
  </si>
  <si>
    <t>БР 2015, тыс. руб.</t>
  </si>
  <si>
    <t>Касса на 2015, тыс.руб.</t>
  </si>
  <si>
    <t>% испол-нения БР 2015</t>
  </si>
  <si>
    <t>БР 2016, тыс. руб.</t>
  </si>
  <si>
    <t>Касса  2016, тыс.руб.</t>
  </si>
  <si>
    <t>% испол-нения БР на 01.01.2017</t>
  </si>
  <si>
    <t>БР 2017, тыс. руб.</t>
  </si>
  <si>
    <t>Касса на 2017, тыс.руб.</t>
  </si>
  <si>
    <t>% испол-нения БР 2017</t>
  </si>
  <si>
    <t>БР 2018, тыс. руб.</t>
  </si>
  <si>
    <t>Касса 2018, тыс.руб.</t>
  </si>
  <si>
    <t>% испол-нения БР 2018</t>
  </si>
  <si>
    <t>БР 2019, тыс. руб.</t>
  </si>
  <si>
    <t>Касса 01.07.2019, тыс.руб.</t>
  </si>
  <si>
    <t>% испол-нения БР 01.07.2019</t>
  </si>
  <si>
    <t>Касса 01.01.2020, тыс.руб.</t>
  </si>
  <si>
    <t>% исполнения БР 01.01.2020</t>
  </si>
  <si>
    <t>БР 2020, тыс. руб.</t>
  </si>
  <si>
    <t>Касса 01.01.2021, тыс.руб.</t>
  </si>
  <si>
    <t>% исполнения БР 01.01.2021</t>
  </si>
  <si>
    <t>Расходы</t>
  </si>
  <si>
    <t>20000</t>
  </si>
  <si>
    <t>1.1.</t>
  </si>
  <si>
    <t>Оплата труда и начисления на оплату труда</t>
  </si>
  <si>
    <t>1.1.1.</t>
  </si>
  <si>
    <t xml:space="preserve"> Заработная плата, в том числе:  </t>
  </si>
  <si>
    <t>1.1.1.1.</t>
  </si>
  <si>
    <t>выплаты по заработной плате, оплата отпусков, другие выплаты</t>
  </si>
  <si>
    <t>211.01</t>
  </si>
  <si>
    <t>1.1.2.</t>
  </si>
  <si>
    <t xml:space="preserve"> Прочие выплаты, в том числе:  </t>
  </si>
  <si>
    <t>командировочные расходы</t>
  </si>
  <si>
    <t>1.1.3.</t>
  </si>
  <si>
    <t xml:space="preserve"> Начисления на оплату труда</t>
  </si>
  <si>
    <t>Другие выплаты по прочим выплатам</t>
  </si>
  <si>
    <t>1.2.</t>
  </si>
  <si>
    <t>Приобретение услуг</t>
  </si>
  <si>
    <t>1.2.1.</t>
  </si>
  <si>
    <t xml:space="preserve"> Услуги связи, в том числе:       </t>
  </si>
  <si>
    <t>1.2.2.</t>
  </si>
  <si>
    <t xml:space="preserve"> Транспортные услуги, в том числе:</t>
  </si>
  <si>
    <t>1.2.2.1.</t>
  </si>
  <si>
    <t>222.01</t>
  </si>
  <si>
    <t>1.2.2.2.</t>
  </si>
  <si>
    <t>другие расходы по транспортным услугам</t>
  </si>
  <si>
    <t>222.99</t>
  </si>
  <si>
    <t>1.2.3.</t>
  </si>
  <si>
    <t xml:space="preserve"> Коммунальные услуги</t>
  </si>
  <si>
    <t>1.2.4.</t>
  </si>
  <si>
    <t xml:space="preserve"> Арендная плата за пользование имуществом</t>
  </si>
  <si>
    <t>1.2.5.</t>
  </si>
  <si>
    <t xml:space="preserve"> Услуги по содержанию имущества, в том числе:</t>
  </si>
  <si>
    <t>1.2.6.</t>
  </si>
  <si>
    <t xml:space="preserve"> Прочие услуги, в том числе:</t>
  </si>
  <si>
    <t>Страхование</t>
  </si>
  <si>
    <t>1.3.</t>
  </si>
  <si>
    <t xml:space="preserve"> Социальное обеспечение, в том числе:</t>
  </si>
  <si>
    <t>1.3.1.</t>
  </si>
  <si>
    <t>Пенсии, пособия и выплаты по пенсионному,  социальному  и  медицинскому страхованию населения</t>
  </si>
  <si>
    <t>1.3.2.</t>
  </si>
  <si>
    <t xml:space="preserve"> Пособия по социальной помощи населению</t>
  </si>
  <si>
    <t>1.3.3.</t>
  </si>
  <si>
    <t>Пенсии,  пособия,  выплачиваемые  организациями   сектора  государственного управления</t>
  </si>
  <si>
    <t>26300</t>
  </si>
  <si>
    <t>Пособия и компенсации персоналу в денежной форме</t>
  </si>
  <si>
    <t>1.4.</t>
  </si>
  <si>
    <t xml:space="preserve"> Прочие расходы, в том числе:</t>
  </si>
  <si>
    <t>1.4.1.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</si>
  <si>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</si>
  <si>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290.01</t>
  </si>
  <si>
    <t>1.4.4.</t>
  </si>
  <si>
    <t>иные расходы</t>
  </si>
  <si>
    <t>290.99</t>
  </si>
  <si>
    <t xml:space="preserve"> Поступление нефинансовых активов </t>
  </si>
  <si>
    <t>2.1.</t>
  </si>
  <si>
    <t xml:space="preserve"> Увеличение стоимости основных средств, в том числе: </t>
  </si>
  <si>
    <t>2.2.</t>
  </si>
  <si>
    <t>Увеличение стоимости нематериальных активов</t>
  </si>
  <si>
    <t>32000</t>
  </si>
  <si>
    <t>2.3.</t>
  </si>
  <si>
    <t xml:space="preserve"> Увеличение стоимости материальных запасов, в том числе:</t>
  </si>
  <si>
    <t xml:space="preserve">ИТОГО РАСХОДЫ ПО ГОКУ </t>
  </si>
  <si>
    <t>Информация о предписаниях  надзорных органов и проведенных  мероприятиях по их устранению в 2013 году</t>
  </si>
  <si>
    <t>Наименование надзорного органа</t>
  </si>
  <si>
    <t>Реквизиты предписания (дата, № и т.д)</t>
  </si>
  <si>
    <t>Перечень мероприятий</t>
  </si>
  <si>
    <t>Установленные сроки устранения предписаний</t>
  </si>
  <si>
    <t>Стоимость работ (тыс. руб.)</t>
  </si>
  <si>
    <t>Отметка об исполнении мероприятия</t>
  </si>
  <si>
    <t>Всего</t>
  </si>
  <si>
    <t>ЦС</t>
  </si>
  <si>
    <t>ВР</t>
  </si>
  <si>
    <t>КОСГУ</t>
  </si>
  <si>
    <t>Код цели</t>
  </si>
  <si>
    <t>ФГКУ "Специальное управление ФПС №48 МЧС России"</t>
  </si>
  <si>
    <t>05.12.2012г. №322/1/21</t>
  </si>
  <si>
    <t>Отсутствует противопожарная преграда, отделяющая помещения Центра от жилой части здания</t>
  </si>
  <si>
    <t>до 01.07.2013</t>
  </si>
  <si>
    <t>224</t>
  </si>
  <si>
    <t>225</t>
  </si>
  <si>
    <t>Исполнено в полном объеме</t>
  </si>
  <si>
    <t>В помещениях Центра не установленна система автоматического обнаружения пожара</t>
  </si>
  <si>
    <t>6222800</t>
  </si>
  <si>
    <t>244</t>
  </si>
  <si>
    <t>226</t>
  </si>
  <si>
    <t>Информация о предписаниях  надзорных органов и проведенных  мероприятиях по их устранению в 2014,2015,2016,2017 году</t>
  </si>
  <si>
    <t>план на 2021</t>
  </si>
  <si>
    <t>Фактически 2021 год</t>
  </si>
  <si>
    <t>БР 2021, тыс. руб.</t>
  </si>
  <si>
    <t>Касса 01.01.2022, тыс.руб.</t>
  </si>
  <si>
    <t>% исполнения БР 01.01.2022</t>
  </si>
  <si>
    <t>2021 год</t>
  </si>
  <si>
    <t>данные на 01.07.2022</t>
  </si>
  <si>
    <t>на 01.07.2022</t>
  </si>
  <si>
    <t xml:space="preserve">Оказание государственной социальной помощи на основании социального контракта отдельным категориям граждан </t>
  </si>
  <si>
    <t>Договор безвоздмезного временного пользования недвижимым муниципальным имуществом № 1 от 08.12.2017г. (Общая площадь 23,3)</t>
  </si>
  <si>
    <t>Договор безвоздмезного временного пользования недвижимым муниципальным имуществом № 17 от 06.12.2010г. (Общая площадь 17,3)</t>
  </si>
  <si>
    <t>план на 2022</t>
  </si>
  <si>
    <t>БР 2022, тыс. руб.</t>
  </si>
  <si>
    <t>на 01.01.2023</t>
  </si>
  <si>
    <t>Ежемесячная доплата до размера фактически начисленной платы за ЖКУ ОКГ</t>
  </si>
  <si>
    <t>на 01.07.2023</t>
  </si>
  <si>
    <t>Предоставление  социальной поддержки по обеспечению полноценным питанием в виде денежных выплат беременным женщинам, кормящим матерям, детям в возрасте до трех лет</t>
  </si>
  <si>
    <t>Постановлением Правительства Мурманской области от 17.12.2021 N 951-ПП "О социальной поддержке по обеспечению полноценным питанием в виде денежных выплат беременным женщинам, кормящим матерям, детям в возрасте до трех лет"</t>
  </si>
  <si>
    <t>Оплата проезда в медицинские организации и обратно беременным и родившим женщинам</t>
  </si>
  <si>
    <t>ЕДВ на детей из семей участников СВО (ПИТАНИЕ)</t>
  </si>
  <si>
    <t>ЕДВ на детей из семей участников СВО (ПРОЖИВАНИЕ В ОБЩЕЖИТИИ)</t>
  </si>
  <si>
    <t>Предоставление многодетным семьям компенсации на оплату части стоимости обучения детей</t>
  </si>
  <si>
    <t>Предоставление ежемесячной доплаты до размера ежемесячного взноса на капитальный ремонт  общего имущества в многоквартирном доме собственникам жилых помещений в многоквартирных домах, достигшим возвраста 80 лет</t>
  </si>
  <si>
    <t>Единовременная материальная помощь членам семей участников СВО</t>
  </si>
  <si>
    <t xml:space="preserve">Предоставление социальных выплат гражданам ДНР, ЛНР, Украины и лицам без гражданства, вынужденно покинувшим территорию ДНР, ЛНР, Украины и прибывшим на территорию РФ за счет средств резервного фонда Правительства РФ </t>
  </si>
  <si>
    <t xml:space="preserve">Постановление Правительства РФ от 02.09.2022 N 1547
"О порядке предоставления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Федерации"
</t>
  </si>
  <si>
    <t xml:space="preserve">Постановление Правительства Мурманской области от 01.12.2022 N 948-ПП
(ред. от 11.04.2023)
"О предоставлении меры социальной поддержки в виде денежной выплаты на оплату проезда в медицинские организации и обратно беременным и родившим женщинам"
</t>
  </si>
  <si>
    <t>Постановление Правительства Мурманской области от 10.04.2023 N 259-ПП "О дополнительных мерах социальной поддержки в виде ежемесячных денежных выплат на оплату питания и проживания в общежитиях детям из семей участников специальной военной операции"</t>
  </si>
  <si>
    <t xml:space="preserve">Постановление Правительства Мурманской области от 16.12.2022 N 1019-ПП
"О компенсации расходов на оплату обучения детей из многодетных семей, обучающихся по образовательным программам среднего профессионального образования"
</t>
  </si>
  <si>
    <t xml:space="preserve">Постановление Правительства Мурманской области от 10.04.2023 N 252-ПП
"О дополнительных мерах социальной поддержки на оплату проезда в медицинские организации и обратно гражданам с ограниченными возможностями здоровья"
Постановление Правительства Мурманской области от 10.04.2023 N 252-ПП
"О дополнительных мерах социальной поддержки на оплату проезда в медицинские организации и обратно гражданам с ограниченными возможностями здоровья"
</t>
  </si>
  <si>
    <t xml:space="preserve">Постановление Правительства Мурманской области от 30.08.2019 N 410-ПП
"О предоставлении ежемесячной доплаты до размера ежемесячного взноса на капитальный ремонт общего имущества в многоквартирном доме собственникам жилых помещений, достигшим возраста 80 лет"
</t>
  </si>
  <si>
    <t xml:space="preserve">Постановление Правительства Мурманской области от 22.03.2016 N 119-ПП
"О предоставлении отдельным категориям собственников жилых помещений в многоквартирных домах компенсации расходов на уплату взноса на капитальный ремонт"
</t>
  </si>
  <si>
    <t>Предоставление отдельным категориям собственников жилых помещений в многоквартирных домах компенсации расходов на уплату взноса на капитальный ремонт ПЕНСИОНЕРЫ!!!!!</t>
  </si>
  <si>
    <t>Предоставление социальной поддержки на оплату проезда в медицинские организации и обратно гражданам с ограниченными возможностями здоровья</t>
  </si>
  <si>
    <t>на 01.01.2024</t>
  </si>
  <si>
    <t>Оказание материальной помощи пенсионерам, оказавшимся в трудной жизненной ситуации</t>
  </si>
  <si>
    <t>Оказание материальной помощи инвалидам, оказавшимся в трудной жизненной ситуации</t>
  </si>
  <si>
    <t>Предоставление мер социальной поддержки в виде денежной выплаты в пределах установленного Правительством Мурманской области размера оплаты стоимости социальной услуги по изготовлению зубных ортопедических конструкций любой сложности</t>
  </si>
  <si>
    <t>Выдача удостоверения многодетной семьи</t>
  </si>
  <si>
    <t>Организация работы с семьями участников СВО</t>
  </si>
  <si>
    <t xml:space="preserve"> Выдача сертификата на возмещение расходов по изготовлению зубных ортопедических конструкций любой сложности</t>
  </si>
  <si>
    <t>Постановление Правительства Мурманской области от 11.08.2023 N 582-ПП</t>
  </si>
  <si>
    <t>0</t>
  </si>
  <si>
    <t>99</t>
  </si>
  <si>
    <t xml:space="preserve">Закон Мурманской области от 07.12.2011 N 1438-01-ЗМО
"О социальной поддержке многодетных семей в Мурманской области"
</t>
  </si>
  <si>
    <t>229</t>
  </si>
  <si>
    <t xml:space="preserve">Закон Мурманской области от 29.12.2004 N 581-01 "О возмещении стоимости услуг и выплате социального пособия на погребение"
</t>
  </si>
  <si>
    <t xml:space="preserve">Постановление Правительства Мурманской области от 24.09.2022 N 749-ПП
"Об установлении дополнительной меры социальной поддержки в форме единовременной материальной помощи"
</t>
  </si>
  <si>
    <t xml:space="preserve">Постановление Правительства Мурманской области от 06.05.2022 N 348-ПП
"О предоставлении ежемесячной доплаты до размера фактически начисленной платы за жилое помещение и коммунальные услуги отдельным категориям граждан в Мурманской области"
</t>
  </si>
  <si>
    <t>донорам</t>
  </si>
  <si>
    <t>Закон Мурманской области от 17.03.1997 N 50-01-ЗМО "О мерах социальной поддержки донорам крови и (или) ее компонентов в Мурманской области"</t>
  </si>
  <si>
    <t xml:space="preserve">Постановление Правительства Мурманской области от 25.12.2009 N 601-ПП
"О мерах социальной поддержки реабилитированных лиц"
</t>
  </si>
  <si>
    <t>Постановление Правительства Мурманской области от 06.03.2007 № 114-ПП "Об утверждении Порядка финансирования и выплаты разницы в стоимости единого социального проездного билета и суммы ежемесячной денежной выплаты отдельным категориям граждан Мурманской области</t>
  </si>
  <si>
    <t>Выдача справок о получении/неполучении мер социальной поддержки</t>
  </si>
  <si>
    <t>На 01 января 2024 года</t>
  </si>
  <si>
    <t>Численность получателей
 (семей, человек)</t>
  </si>
  <si>
    <t>Численность получателей (семей, человек)</t>
  </si>
  <si>
    <t xml:space="preserve">Государственное единовременное пособие гражданам, у которых возникли поствакцинальные осложнения </t>
  </si>
  <si>
    <t>Ежемесячная денежная выплата гражданам, признанным инвалидами вследствие поствакционального осложнения</t>
  </si>
  <si>
    <t>данные на 01.01.2023</t>
  </si>
  <si>
    <t>данные на 01.01.2024</t>
  </si>
  <si>
    <t>план на 2023</t>
  </si>
  <si>
    <t>Фактически 2022 год</t>
  </si>
  <si>
    <t>Фактически 2023 год</t>
  </si>
  <si>
    <t>Касса 01.01.2023, тыс.руб.</t>
  </si>
  <si>
    <t>БР 2023, тыс. руб.</t>
  </si>
  <si>
    <t>Касса 01.01.2024, тыс.руб.</t>
  </si>
  <si>
    <t>% исполнения БР  01.01.2023</t>
  </si>
  <si>
    <t>% исполнения БР 01.01.2024</t>
  </si>
  <si>
    <t>2022 год</t>
  </si>
  <si>
    <t>2023 год</t>
  </si>
  <si>
    <t>Услуги, работы для целей капитальных вложений</t>
  </si>
  <si>
    <t>1.2.7.</t>
  </si>
  <si>
    <t>1.2.8.</t>
  </si>
  <si>
    <t>Пособия по социальной помощи, выплачиваемые работодателями, нанимателями бывшим работникам в натуральной форме</t>
  </si>
  <si>
    <t>1.3.4.</t>
  </si>
  <si>
    <t>1.3.5.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</si>
</sst>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000"/>
    <numFmt numFmtId="174" formatCode="#,##0.0"/>
    <numFmt numFmtId="175" formatCode="#,##0.00_ ;\-#,##0.00\ "/>
    <numFmt numFmtId="176" formatCode="[$-FC19]d\ mmmm\ yyyy\ &quot;г.&quot;"/>
    <numFmt numFmtId="177" formatCode="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;\-#,##0.00"/>
    <numFmt numFmtId="184" formatCode="#,###.00"/>
    <numFmt numFmtId="185" formatCode="#,##0_р_.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</numFmts>
  <fonts count="7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8"/>
      <color indexed="8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color indexed="20"/>
      <name val="Times New Roman"/>
      <family val="1"/>
    </font>
    <font>
      <b/>
      <sz val="10"/>
      <color indexed="20"/>
      <name val="Arial Cyr"/>
      <family val="2"/>
    </font>
    <font>
      <sz val="6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Arial Cyr"/>
      <family val="2"/>
    </font>
    <font>
      <b/>
      <sz val="11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Arial Cyr"/>
      <family val="2"/>
    </font>
    <font>
      <b/>
      <sz val="11"/>
      <color rgb="FF0070C0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2" fillId="0" borderId="0">
      <alignment/>
      <protection/>
    </xf>
    <xf numFmtId="0" fontId="32" fillId="0" borderId="0" applyNumberFormat="0" applyFill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70" fillId="33" borderId="0" applyNumberFormat="0" applyBorder="0" applyAlignment="0" applyProtection="0"/>
  </cellStyleXfs>
  <cellXfs count="4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 wrapText="1"/>
    </xf>
    <xf numFmtId="16" fontId="11" fillId="35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11" fillId="0" borderId="1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>
      <alignment/>
    </xf>
    <xf numFmtId="0" fontId="9" fillId="0" borderId="11" xfId="42" applyNumberFormat="1" applyFont="1" applyFill="1" applyBorder="1" applyAlignment="1" applyProtection="1">
      <alignment horizontal="center" vertical="top" wrapText="1"/>
      <protection/>
    </xf>
    <xf numFmtId="0" fontId="13" fillId="0" borderId="11" xfId="42" applyNumberFormat="1" applyFont="1" applyFill="1" applyBorder="1" applyAlignment="1" applyProtection="1">
      <alignment horizontal="center" vertical="top" wrapText="1"/>
      <protection/>
    </xf>
    <xf numFmtId="1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16" fontId="6" fillId="35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73" fontId="11" fillId="0" borderId="11" xfId="0" applyNumberFormat="1" applyFont="1" applyFill="1" applyBorder="1" applyAlignment="1" applyProtection="1">
      <alignment horizontal="left"/>
      <protection locked="0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/>
      <protection locked="0"/>
    </xf>
    <xf numFmtId="14" fontId="6" fillId="0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wrapText="1"/>
      <protection locked="0"/>
    </xf>
    <xf numFmtId="16" fontId="1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14" fontId="6" fillId="35" borderId="11" xfId="0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172" fontId="11" fillId="0" borderId="11" xfId="85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right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left" indent="1"/>
    </xf>
    <xf numFmtId="0" fontId="20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16" fontId="11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16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inden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1" fillId="34" borderId="12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4" fontId="11" fillId="0" borderId="11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/>
    </xf>
    <xf numFmtId="4" fontId="6" fillId="34" borderId="11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11" fillId="36" borderId="18" xfId="0" applyNumberFormat="1" applyFont="1" applyFill="1" applyBorder="1" applyAlignment="1">
      <alignment horizontal="right"/>
    </xf>
    <xf numFmtId="0" fontId="11" fillId="0" borderId="12" xfId="0" applyFont="1" applyFill="1" applyBorder="1" applyAlignment="1" applyProtection="1">
      <alignment horizontal="right"/>
      <protection locked="0"/>
    </xf>
    <xf numFmtId="4" fontId="11" fillId="36" borderId="11" xfId="0" applyNumberFormat="1" applyFont="1" applyFill="1" applyBorder="1" applyAlignment="1">
      <alignment horizontal="right"/>
    </xf>
    <xf numFmtId="4" fontId="11" fillId="36" borderId="11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 applyProtection="1">
      <alignment horizontal="right"/>
      <protection locked="0"/>
    </xf>
    <xf numFmtId="174" fontId="11" fillId="0" borderId="12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>
      <alignment horizontal="right"/>
    </xf>
    <xf numFmtId="174" fontId="11" fillId="0" borderId="12" xfId="0" applyNumberFormat="1" applyFont="1" applyFill="1" applyBorder="1" applyAlignment="1">
      <alignment horizontal="right"/>
    </xf>
    <xf numFmtId="174" fontId="11" fillId="36" borderId="11" xfId="0" applyNumberFormat="1" applyFont="1" applyFill="1" applyBorder="1" applyAlignment="1">
      <alignment horizontal="right"/>
    </xf>
    <xf numFmtId="175" fontId="11" fillId="0" borderId="11" xfId="87" applyNumberFormat="1" applyFont="1" applyFill="1" applyBorder="1" applyAlignment="1" applyProtection="1">
      <alignment horizontal="right"/>
      <protection locked="0"/>
    </xf>
    <xf numFmtId="175" fontId="11" fillId="0" borderId="12" xfId="87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2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6" fillId="37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 wrapText="1"/>
    </xf>
    <xf numFmtId="4" fontId="6" fillId="37" borderId="11" xfId="0" applyNumberFormat="1" applyFont="1" applyFill="1" applyBorder="1" applyAlignment="1">
      <alignment/>
    </xf>
    <xf numFmtId="10" fontId="6" fillId="37" borderId="11" xfId="0" applyNumberFormat="1" applyFont="1" applyFill="1" applyBorder="1" applyAlignment="1">
      <alignment/>
    </xf>
    <xf numFmtId="10" fontId="6" fillId="37" borderId="12" xfId="0" applyNumberFormat="1" applyFont="1" applyFill="1" applyBorder="1" applyAlignment="1">
      <alignment/>
    </xf>
    <xf numFmtId="10" fontId="11" fillId="37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4" fontId="6" fillId="34" borderId="11" xfId="0" applyNumberFormat="1" applyFont="1" applyFill="1" applyBorder="1" applyAlignment="1">
      <alignment/>
    </xf>
    <xf numFmtId="10" fontId="6" fillId="34" borderId="11" xfId="0" applyNumberFormat="1" applyFont="1" applyFill="1" applyBorder="1" applyAlignment="1">
      <alignment/>
    </xf>
    <xf numFmtId="10" fontId="6" fillId="34" borderId="12" xfId="0" applyNumberFormat="1" applyFont="1" applyFill="1" applyBorder="1" applyAlignment="1">
      <alignment/>
    </xf>
    <xf numFmtId="10" fontId="11" fillId="34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/>
      <protection locked="0"/>
    </xf>
    <xf numFmtId="10" fontId="6" fillId="0" borderId="11" xfId="0" applyNumberFormat="1" applyFont="1" applyFill="1" applyBorder="1" applyAlignment="1">
      <alignment/>
    </xf>
    <xf numFmtId="10" fontId="6" fillId="0" borderId="12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10" fontId="11" fillId="0" borderId="11" xfId="0" applyNumberFormat="1" applyFont="1" applyFill="1" applyBorder="1" applyAlignment="1">
      <alignment/>
    </xf>
    <xf numFmtId="4" fontId="11" fillId="0" borderId="11" xfId="82" applyNumberFormat="1" applyFont="1" applyFill="1" applyBorder="1" applyAlignment="1" applyProtection="1">
      <alignment/>
      <protection/>
    </xf>
    <xf numFmtId="10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4" fontId="11" fillId="38" borderId="11" xfId="0" applyNumberFormat="1" applyFont="1" applyFill="1" applyBorder="1" applyAlignment="1" applyProtection="1">
      <alignment/>
      <protection locked="0"/>
    </xf>
    <xf numFmtId="10" fontId="11" fillId="38" borderId="11" xfId="0" applyNumberFormat="1" applyFont="1" applyFill="1" applyBorder="1" applyAlignment="1">
      <alignment/>
    </xf>
    <xf numFmtId="4" fontId="11" fillId="38" borderId="11" xfId="0" applyNumberFormat="1" applyFont="1" applyFill="1" applyBorder="1" applyAlignment="1">
      <alignment/>
    </xf>
    <xf numFmtId="10" fontId="11" fillId="38" borderId="12" xfId="0" applyNumberFormat="1" applyFont="1" applyFill="1" applyBorder="1" applyAlignment="1">
      <alignment/>
    </xf>
    <xf numFmtId="4" fontId="11" fillId="39" borderId="11" xfId="0" applyNumberFormat="1" applyFont="1" applyFill="1" applyBorder="1" applyAlignment="1">
      <alignment/>
    </xf>
    <xf numFmtId="10" fontId="11" fillId="39" borderId="12" xfId="0" applyNumberFormat="1" applyFont="1" applyFill="1" applyBorder="1" applyAlignment="1">
      <alignment/>
    </xf>
    <xf numFmtId="4" fontId="6" fillId="34" borderId="11" xfId="0" applyNumberFormat="1" applyFont="1" applyFill="1" applyBorder="1" applyAlignment="1" applyProtection="1">
      <alignment/>
      <protection locked="0"/>
    </xf>
    <xf numFmtId="0" fontId="11" fillId="39" borderId="12" xfId="0" applyFont="1" applyFill="1" applyBorder="1" applyAlignment="1">
      <alignment/>
    </xf>
    <xf numFmtId="4" fontId="11" fillId="36" borderId="11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14" fontId="12" fillId="0" borderId="11" xfId="0" applyNumberFormat="1" applyFont="1" applyBorder="1" applyAlignment="1">
      <alignment horizontal="center" wrapText="1"/>
    </xf>
    <xf numFmtId="4" fontId="12" fillId="0" borderId="11" xfId="0" applyNumberFormat="1" applyFont="1" applyFill="1" applyBorder="1" applyAlignment="1" applyProtection="1">
      <alignment horizontal="right" wrapText="1"/>
      <protection locked="0"/>
    </xf>
    <xf numFmtId="49" fontId="12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12" fillId="0" borderId="11" xfId="0" applyNumberFormat="1" applyFont="1" applyFill="1" applyBorder="1" applyAlignment="1" applyProtection="1">
      <alignment horizontal="right"/>
      <protection locked="0"/>
    </xf>
    <xf numFmtId="49" fontId="12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/>
      <protection locked="0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2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11" fillId="34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2" fontId="11" fillId="0" borderId="20" xfId="0" applyNumberFormat="1" applyFont="1" applyFill="1" applyBorder="1" applyAlignment="1">
      <alignment/>
    </xf>
    <xf numFmtId="0" fontId="71" fillId="0" borderId="0" xfId="0" applyFont="1" applyAlignment="1">
      <alignment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4" fontId="17" fillId="0" borderId="20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center"/>
    </xf>
    <xf numFmtId="0" fontId="11" fillId="4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justify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6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 wrapText="1"/>
    </xf>
    <xf numFmtId="3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vertical="center" wrapText="1"/>
    </xf>
    <xf numFmtId="0" fontId="12" fillId="36" borderId="20" xfId="0" applyFont="1" applyFill="1" applyBorder="1" applyAlignment="1">
      <alignment vertical="top" wrapText="1"/>
    </xf>
    <xf numFmtId="4" fontId="12" fillId="4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2" fillId="36" borderId="20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left" vertical="center"/>
    </xf>
    <xf numFmtId="0" fontId="12" fillId="41" borderId="20" xfId="0" applyFont="1" applyFill="1" applyBorder="1" applyAlignment="1">
      <alignment vertical="center" wrapText="1"/>
    </xf>
    <xf numFmtId="49" fontId="12" fillId="40" borderId="20" xfId="0" applyNumberFormat="1" applyFont="1" applyFill="1" applyBorder="1" applyAlignment="1">
      <alignment vertical="center" wrapText="1"/>
    </xf>
    <xf numFmtId="0" fontId="12" fillId="41" borderId="20" xfId="0" applyFont="1" applyFill="1" applyBorder="1" applyAlignment="1" applyProtection="1">
      <alignment horizontal="center" vertical="center" wrapText="1"/>
      <protection locked="0"/>
    </xf>
    <xf numFmtId="4" fontId="12" fillId="41" borderId="20" xfId="0" applyNumberFormat="1" applyFont="1" applyFill="1" applyBorder="1" applyAlignment="1">
      <alignment horizontal="center" vertical="center"/>
    </xf>
    <xf numFmtId="4" fontId="12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20" xfId="0" applyFont="1" applyFill="1" applyBorder="1" applyAlignment="1" applyProtection="1">
      <alignment horizontal="center" vertical="center" wrapText="1"/>
      <protection locked="0"/>
    </xf>
    <xf numFmtId="4" fontId="16" fillId="41" borderId="20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20" xfId="0" applyFont="1" applyFill="1" applyBorder="1" applyAlignment="1">
      <alignment horizontal="center" vertical="center" wrapText="1"/>
    </xf>
    <xf numFmtId="4" fontId="12" fillId="41" borderId="20" xfId="0" applyNumberFormat="1" applyFont="1" applyFill="1" applyBorder="1" applyAlignment="1">
      <alignment horizontal="center" vertical="center" wrapText="1"/>
    </xf>
    <xf numFmtId="0" fontId="17" fillId="41" borderId="20" xfId="0" applyFont="1" applyFill="1" applyBorder="1" applyAlignment="1">
      <alignment horizontal="center" vertical="center" wrapText="1"/>
    </xf>
    <xf numFmtId="4" fontId="17" fillId="41" borderId="20" xfId="0" applyNumberFormat="1" applyFont="1" applyFill="1" applyBorder="1" applyAlignment="1">
      <alignment horizontal="center" vertical="center" wrapText="1"/>
    </xf>
    <xf numFmtId="3" fontId="12" fillId="41" borderId="20" xfId="0" applyNumberFormat="1" applyFont="1" applyFill="1" applyBorder="1" applyAlignment="1">
      <alignment horizontal="center" vertical="center"/>
    </xf>
    <xf numFmtId="3" fontId="17" fillId="41" borderId="20" xfId="0" applyNumberFormat="1" applyFont="1" applyFill="1" applyBorder="1" applyAlignment="1">
      <alignment horizontal="center" vertical="center"/>
    </xf>
    <xf numFmtId="4" fontId="17" fillId="41" borderId="20" xfId="0" applyNumberFormat="1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42" borderId="20" xfId="0" applyFont="1" applyFill="1" applyBorder="1" applyAlignment="1" applyProtection="1">
      <alignment horizontal="center" vertical="center" wrapText="1"/>
      <protection locked="0"/>
    </xf>
    <xf numFmtId="4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0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/>
    </xf>
    <xf numFmtId="0" fontId="11" fillId="41" borderId="0" xfId="0" applyFont="1" applyFill="1" applyAlignment="1">
      <alignment/>
    </xf>
    <xf numFmtId="0" fontId="11" fillId="41" borderId="0" xfId="0" applyFont="1" applyFill="1" applyAlignment="1">
      <alignment/>
    </xf>
    <xf numFmtId="0" fontId="11" fillId="4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5" fillId="0" borderId="20" xfId="0" applyFont="1" applyBorder="1" applyAlignment="1">
      <alignment vertical="center" wrapText="1"/>
    </xf>
    <xf numFmtId="0" fontId="6" fillId="43" borderId="11" xfId="0" applyFont="1" applyFill="1" applyBorder="1" applyAlignment="1">
      <alignment horizontal="center"/>
    </xf>
    <xf numFmtId="0" fontId="6" fillId="43" borderId="11" xfId="0" applyFont="1" applyFill="1" applyBorder="1" applyAlignment="1">
      <alignment wrapText="1"/>
    </xf>
    <xf numFmtId="4" fontId="6" fillId="43" borderId="11" xfId="0" applyNumberFormat="1" applyFont="1" applyFill="1" applyBorder="1" applyAlignment="1" applyProtection="1">
      <alignment/>
      <protection locked="0"/>
    </xf>
    <xf numFmtId="10" fontId="6" fillId="43" borderId="11" xfId="0" applyNumberFormat="1" applyFont="1" applyFill="1" applyBorder="1" applyAlignment="1">
      <alignment/>
    </xf>
    <xf numFmtId="10" fontId="6" fillId="43" borderId="12" xfId="0" applyNumberFormat="1" applyFont="1" applyFill="1" applyBorder="1" applyAlignment="1">
      <alignment/>
    </xf>
    <xf numFmtId="4" fontId="6" fillId="43" borderId="11" xfId="0" applyNumberFormat="1" applyFont="1" applyFill="1" applyBorder="1" applyAlignment="1">
      <alignment/>
    </xf>
    <xf numFmtId="10" fontId="11" fillId="43" borderId="11" xfId="0" applyNumberFormat="1" applyFont="1" applyFill="1" applyBorder="1" applyAlignment="1">
      <alignment/>
    </xf>
    <xf numFmtId="4" fontId="11" fillId="43" borderId="11" xfId="0" applyNumberFormat="1" applyFont="1" applyFill="1" applyBorder="1" applyAlignment="1">
      <alignment/>
    </xf>
    <xf numFmtId="0" fontId="11" fillId="43" borderId="12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0" fillId="40" borderId="20" xfId="0" applyFont="1" applyFill="1" applyBorder="1" applyAlignment="1">
      <alignment/>
    </xf>
    <xf numFmtId="14" fontId="5" fillId="40" borderId="20" xfId="0" applyNumberFormat="1" applyFont="1" applyFill="1" applyBorder="1" applyAlignment="1">
      <alignment horizontal="center"/>
    </xf>
    <xf numFmtId="4" fontId="11" fillId="41" borderId="18" xfId="0" applyNumberFormat="1" applyFont="1" applyFill="1" applyBorder="1" applyAlignment="1">
      <alignment horizontal="right"/>
    </xf>
    <xf numFmtId="4" fontId="11" fillId="41" borderId="11" xfId="0" applyNumberFormat="1" applyFont="1" applyFill="1" applyBorder="1" applyAlignment="1">
      <alignment horizontal="right"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174" fontId="11" fillId="41" borderId="11" xfId="0" applyNumberFormat="1" applyFont="1" applyFill="1" applyBorder="1" applyAlignment="1">
      <alignment horizontal="right"/>
    </xf>
    <xf numFmtId="0" fontId="6" fillId="40" borderId="11" xfId="0" applyFont="1" applyFill="1" applyBorder="1" applyAlignment="1">
      <alignment wrapText="1"/>
    </xf>
    <xf numFmtId="0" fontId="12" fillId="40" borderId="20" xfId="0" applyFont="1" applyFill="1" applyBorder="1" applyAlignment="1">
      <alignment horizontal="left" vertical="center" wrapText="1"/>
    </xf>
    <xf numFmtId="0" fontId="17" fillId="40" borderId="20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42" applyNumberFormat="1" applyFont="1" applyFill="1" applyBorder="1" applyAlignment="1" applyProtection="1">
      <alignment horizontal="left"/>
      <protection/>
    </xf>
    <xf numFmtId="16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40" borderId="24" xfId="0" applyFont="1" applyFill="1" applyBorder="1" applyAlignment="1">
      <alignment horizontal="left" vertical="center" wrapText="1"/>
    </xf>
    <xf numFmtId="0" fontId="12" fillId="40" borderId="2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2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21" xfId="0" applyNumberFormat="1" applyFont="1" applyFill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11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12" fillId="40" borderId="24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4" xfId="57"/>
    <cellStyle name="Обычный 2 2 5" xfId="58"/>
    <cellStyle name="Обычный 2 2 6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3 2" xfId="68"/>
    <cellStyle name="Обычный 4" xfId="69"/>
    <cellStyle name="Обычный 4 2" xfId="70"/>
    <cellStyle name="Обычный 4 3" xfId="71"/>
    <cellStyle name="Обычный 4 4" xfId="72"/>
    <cellStyle name="Обычный 4 5" xfId="73"/>
    <cellStyle name="Обычный 5" xfId="74"/>
    <cellStyle name="Обычный 5 2" xfId="75"/>
    <cellStyle name="Обычный 6" xfId="76"/>
    <cellStyle name="Обычный 7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negnogorsk@socmurman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6:O25"/>
  <sheetViews>
    <sheetView zoomScaleSheetLayoutView="190" zoomScalePageLayoutView="0" workbookViewId="0" topLeftCell="B1">
      <selection activeCell="M17" sqref="M17"/>
    </sheetView>
  </sheetViews>
  <sheetFormatPr defaultColWidth="9.375" defaultRowHeight="12.75"/>
  <cols>
    <col min="1" max="8" width="9.375" style="1" customWidth="1"/>
    <col min="9" max="9" width="15.375" style="1" customWidth="1"/>
    <col min="10" max="15" width="9.375" style="2" customWidth="1"/>
    <col min="16" max="16384" width="9.375" style="1" customWidth="1"/>
  </cols>
  <sheetData>
    <row r="6" spans="2:11" ht="44.25" customHeight="1">
      <c r="B6" s="412" t="s">
        <v>0</v>
      </c>
      <c r="C6" s="412"/>
      <c r="D6" s="412"/>
      <c r="E6" s="412"/>
      <c r="F6" s="412"/>
      <c r="G6" s="412"/>
      <c r="H6" s="412"/>
      <c r="I6" s="412"/>
      <c r="J6" s="3"/>
      <c r="K6" s="3"/>
    </row>
    <row r="8" spans="2:11" ht="33.75" customHeight="1">
      <c r="B8" s="413" t="s">
        <v>1</v>
      </c>
      <c r="C8" s="413"/>
      <c r="D8" s="413"/>
      <c r="E8" s="413"/>
      <c r="F8" s="413"/>
      <c r="G8" s="413"/>
      <c r="H8" s="413"/>
      <c r="I8" s="413"/>
      <c r="J8" s="4"/>
      <c r="K8" s="4"/>
    </row>
    <row r="9" spans="2:15" s="5" customFormat="1" ht="12.75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</row>
    <row r="10" spans="2:9" ht="18.75">
      <c r="B10" s="414" t="s">
        <v>633</v>
      </c>
      <c r="C10" s="414"/>
      <c r="D10" s="414"/>
      <c r="E10" s="414"/>
      <c r="F10" s="414"/>
      <c r="G10" s="414"/>
      <c r="H10" s="414"/>
      <c r="I10" s="414"/>
    </row>
    <row r="13" ht="18.75">
      <c r="B13" s="1" t="s">
        <v>2</v>
      </c>
    </row>
    <row r="14" spans="2:11" ht="18.75">
      <c r="B14" s="9" t="s">
        <v>3</v>
      </c>
      <c r="C14" s="415" t="s">
        <v>4</v>
      </c>
      <c r="D14" s="415"/>
      <c r="E14" s="415"/>
      <c r="F14" s="415"/>
      <c r="G14" s="415"/>
      <c r="H14" s="415"/>
      <c r="I14" s="415"/>
      <c r="J14" s="10"/>
      <c r="K14" s="10"/>
    </row>
    <row r="15" spans="2:11" ht="18.75">
      <c r="B15" s="9" t="s">
        <v>5</v>
      </c>
      <c r="C15" s="415" t="s">
        <v>6</v>
      </c>
      <c r="D15" s="415"/>
      <c r="E15" s="415"/>
      <c r="F15" s="415"/>
      <c r="G15" s="415"/>
      <c r="H15" s="415"/>
      <c r="I15" s="415"/>
      <c r="J15" s="10"/>
      <c r="K15" s="10"/>
    </row>
    <row r="16" spans="2:11" ht="18.75">
      <c r="B16" s="9" t="s">
        <v>7</v>
      </c>
      <c r="C16" s="415" t="s">
        <v>8</v>
      </c>
      <c r="D16" s="415"/>
      <c r="E16" s="415"/>
      <c r="F16" s="415"/>
      <c r="G16" s="415"/>
      <c r="H16" s="415"/>
      <c r="I16" s="415"/>
      <c r="J16" s="10"/>
      <c r="K16" s="10"/>
    </row>
    <row r="17" spans="2:11" ht="18.75">
      <c r="B17" s="9" t="s">
        <v>9</v>
      </c>
      <c r="C17" s="415" t="s">
        <v>10</v>
      </c>
      <c r="D17" s="415"/>
      <c r="E17" s="415"/>
      <c r="F17" s="415"/>
      <c r="G17" s="415"/>
      <c r="H17" s="415"/>
      <c r="I17" s="415"/>
      <c r="J17" s="10"/>
      <c r="K17" s="10"/>
    </row>
    <row r="18" spans="2:11" ht="18.75">
      <c r="B18" s="9" t="s">
        <v>11</v>
      </c>
      <c r="C18" s="415" t="s">
        <v>12</v>
      </c>
      <c r="D18" s="415"/>
      <c r="E18" s="415"/>
      <c r="F18" s="415"/>
      <c r="G18" s="415"/>
      <c r="H18" s="415"/>
      <c r="I18" s="415"/>
      <c r="J18" s="10"/>
      <c r="K18" s="10"/>
    </row>
    <row r="19" spans="2:12" ht="18.75">
      <c r="B19" s="9" t="s">
        <v>13</v>
      </c>
      <c r="C19" s="415" t="s">
        <v>14</v>
      </c>
      <c r="D19" s="415"/>
      <c r="E19" s="415"/>
      <c r="F19" s="415"/>
      <c r="G19" s="415"/>
      <c r="H19" s="415"/>
      <c r="I19" s="415"/>
      <c r="J19" s="7"/>
      <c r="K19" s="7"/>
      <c r="L19" s="7"/>
    </row>
    <row r="20" spans="2:11" ht="18.75">
      <c r="B20" s="9" t="s">
        <v>15</v>
      </c>
      <c r="C20" s="415" t="s">
        <v>16</v>
      </c>
      <c r="D20" s="415"/>
      <c r="E20" s="415"/>
      <c r="F20" s="415"/>
      <c r="G20" s="415"/>
      <c r="H20" s="415"/>
      <c r="I20" s="415"/>
      <c r="J20" s="10"/>
      <c r="K20" s="10"/>
    </row>
    <row r="21" spans="2:11" ht="18.75">
      <c r="B21" s="9" t="s">
        <v>17</v>
      </c>
      <c r="C21" s="415" t="s">
        <v>18</v>
      </c>
      <c r="D21" s="415"/>
      <c r="E21" s="415"/>
      <c r="F21" s="415"/>
      <c r="G21" s="415"/>
      <c r="H21" s="415"/>
      <c r="I21" s="415"/>
      <c r="J21" s="10"/>
      <c r="K21" s="10"/>
    </row>
    <row r="22" spans="2:11" ht="18.75">
      <c r="B22" s="9" t="s">
        <v>19</v>
      </c>
      <c r="C22" s="415" t="s">
        <v>20</v>
      </c>
      <c r="D22" s="415"/>
      <c r="E22" s="415"/>
      <c r="F22" s="415"/>
      <c r="G22" s="415"/>
      <c r="H22" s="415"/>
      <c r="I22" s="415"/>
      <c r="J22" s="11"/>
      <c r="K22" s="11"/>
    </row>
    <row r="23" spans="2:11" ht="18.75">
      <c r="B23" s="9" t="s">
        <v>21</v>
      </c>
      <c r="C23" s="415" t="s">
        <v>22</v>
      </c>
      <c r="D23" s="415"/>
      <c r="E23" s="415"/>
      <c r="F23" s="415"/>
      <c r="G23" s="415"/>
      <c r="H23" s="415"/>
      <c r="I23" s="415"/>
      <c r="J23" s="12"/>
      <c r="K23" s="12"/>
    </row>
    <row r="24" ht="18.75">
      <c r="B24" s="9"/>
    </row>
    <row r="25" ht="18.75">
      <c r="B25" s="9"/>
    </row>
  </sheetData>
  <sheetProtection selectLockedCells="1" selectUnlockedCells="1"/>
  <mergeCells count="13">
    <mergeCell ref="C23:I23"/>
    <mergeCell ref="C17:I17"/>
    <mergeCell ref="C18:I18"/>
    <mergeCell ref="C19:I19"/>
    <mergeCell ref="C20:I20"/>
    <mergeCell ref="C21:I21"/>
    <mergeCell ref="C22:I22"/>
    <mergeCell ref="B6:I6"/>
    <mergeCell ref="B8:I8"/>
    <mergeCell ref="B10:I10"/>
    <mergeCell ref="C14:I14"/>
    <mergeCell ref="C15:I15"/>
    <mergeCell ref="C16:I16"/>
  </mergeCells>
  <hyperlinks>
    <hyperlink ref="C14" location="Общие сведения!C6" display="Общие сведения"/>
    <hyperlink ref="C15" location="Общие сведения!C6" display="Сведения об оказании государственных услуг "/>
    <hyperlink ref="C16" location="Контингент!D30" display="Сведения о  персонале "/>
    <hyperlink ref="C17" location="Руководители!D7" display="Сведения о руководящих работниках "/>
    <hyperlink ref="C18" location="Инфраструктура!D7" display="Сведения об инфраструктуре  "/>
    <hyperlink ref="C19" location="Оборудование!D7" display="Сведения об оборудовании "/>
    <hyperlink ref="C20" location="Коммунальные услуги!D7" display="Сведения о потреблении коммунальных услуг"/>
    <hyperlink ref="C21" location="Износ!D6" display="Сведения о стоимости и износе материальных средств "/>
    <hyperlink ref="C22" location="Расходы!E10" display="Сведения о расходах "/>
    <hyperlink ref="C23" location="Предписания!D7" display="Предписания надзорных органов"/>
  </hyperlinks>
  <printOptions/>
  <pageMargins left="0.7875" right="0.5902777777777778" top="0.5902777777777778" bottom="0.5902777777777777" header="0.5118055555555555" footer="0.5118055555555555"/>
  <pageSetup horizontalDpi="300" verticalDpi="300" orientation="portrait" paperSize="9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D44"/>
  <sheetViews>
    <sheetView zoomScale="88" zoomScaleNormal="88" zoomScalePageLayoutView="0" workbookViewId="0" topLeftCell="A1">
      <pane xSplit="31" topLeftCell="AN1" activePane="topRight" state="frozen"/>
      <selection pane="topLeft" activeCell="A1" sqref="A1"/>
      <selection pane="topRight" activeCell="AJ31" sqref="AJ31"/>
    </sheetView>
  </sheetViews>
  <sheetFormatPr defaultColWidth="9.375" defaultRowHeight="12.75"/>
  <cols>
    <col min="1" max="1" width="7.375" style="72" customWidth="1"/>
    <col min="2" max="2" width="43.625" style="72" customWidth="1"/>
    <col min="3" max="3" width="6.875" style="72" customWidth="1"/>
    <col min="4" max="31" width="0" style="72" hidden="1" customWidth="1"/>
    <col min="32" max="32" width="19.125" style="72" customWidth="1"/>
    <col min="33" max="34" width="0" style="72" hidden="1" customWidth="1"/>
    <col min="35" max="35" width="18.625" style="72" customWidth="1"/>
    <col min="36" max="36" width="16.25390625" style="72" customWidth="1"/>
    <col min="37" max="37" width="19.125" style="72" customWidth="1"/>
    <col min="38" max="39" width="0" style="72" hidden="1" customWidth="1"/>
    <col min="40" max="40" width="18.625" style="72" customWidth="1"/>
    <col min="41" max="41" width="16.25390625" style="72" customWidth="1"/>
    <col min="42" max="42" width="19.125" style="72" customWidth="1"/>
    <col min="43" max="44" width="0" style="72" hidden="1" customWidth="1"/>
    <col min="45" max="45" width="18.625" style="72" customWidth="1"/>
    <col min="46" max="46" width="16.25390625" style="72" customWidth="1"/>
    <col min="47" max="47" width="17.75390625" style="72" customWidth="1"/>
    <col min="48" max="49" width="0" style="72" hidden="1" customWidth="1"/>
    <col min="50" max="50" width="17.75390625" style="72" customWidth="1"/>
    <col min="51" max="51" width="15.75390625" style="72" customWidth="1"/>
    <col min="52" max="52" width="19.125" style="72" customWidth="1"/>
    <col min="53" max="54" width="0" style="72" hidden="1" customWidth="1"/>
    <col min="55" max="55" width="18.625" style="72" customWidth="1"/>
    <col min="56" max="56" width="16.25390625" style="72" customWidth="1"/>
    <col min="57" max="16384" width="9.375" style="72" customWidth="1"/>
  </cols>
  <sheetData>
    <row r="1" spans="1:4" ht="15.75">
      <c r="A1" s="419"/>
      <c r="B1" s="419"/>
      <c r="C1" s="419"/>
      <c r="D1" s="419"/>
    </row>
    <row r="2" spans="1:4" ht="15.75">
      <c r="A2" s="419" t="s">
        <v>20</v>
      </c>
      <c r="B2" s="419"/>
      <c r="C2" s="419"/>
      <c r="D2" s="419"/>
    </row>
    <row r="3" spans="1:34" ht="15" customHeight="1">
      <c r="A3" s="456" t="s">
        <v>23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</row>
    <row r="4" spans="1:4" ht="15.75">
      <c r="A4" s="457" t="s">
        <v>454</v>
      </c>
      <c r="B4" s="457"/>
      <c r="C4" s="457"/>
      <c r="D4" s="457"/>
    </row>
    <row r="6" spans="1:56" s="216" customFormat="1" ht="45.75" customHeight="1">
      <c r="A6" s="79" t="s">
        <v>199</v>
      </c>
      <c r="B6" s="79" t="s">
        <v>455</v>
      </c>
      <c r="C6" s="79" t="s">
        <v>456</v>
      </c>
      <c r="D6" s="79" t="s">
        <v>457</v>
      </c>
      <c r="E6" s="79" t="s">
        <v>458</v>
      </c>
      <c r="F6" s="79" t="s">
        <v>459</v>
      </c>
      <c r="G6" s="79" t="s">
        <v>460</v>
      </c>
      <c r="H6" s="79" t="s">
        <v>461</v>
      </c>
      <c r="I6" s="79" t="s">
        <v>462</v>
      </c>
      <c r="J6" s="79" t="s">
        <v>463</v>
      </c>
      <c r="K6" s="79" t="s">
        <v>464</v>
      </c>
      <c r="L6" s="79" t="s">
        <v>465</v>
      </c>
      <c r="M6" s="79" t="s">
        <v>466</v>
      </c>
      <c r="N6" s="79" t="s">
        <v>467</v>
      </c>
      <c r="O6" s="79" t="s">
        <v>468</v>
      </c>
      <c r="P6" s="79" t="s">
        <v>469</v>
      </c>
      <c r="Q6" s="79" t="s">
        <v>470</v>
      </c>
      <c r="R6" s="79" t="s">
        <v>471</v>
      </c>
      <c r="S6" s="79" t="s">
        <v>472</v>
      </c>
      <c r="T6" s="79" t="s">
        <v>473</v>
      </c>
      <c r="U6" s="79" t="s">
        <v>474</v>
      </c>
      <c r="V6" s="79" t="s">
        <v>475</v>
      </c>
      <c r="W6" s="79" t="s">
        <v>476</v>
      </c>
      <c r="X6" s="79" t="s">
        <v>477</v>
      </c>
      <c r="Y6" s="79" t="s">
        <v>478</v>
      </c>
      <c r="Z6" s="79" t="s">
        <v>479</v>
      </c>
      <c r="AA6" s="79" t="s">
        <v>480</v>
      </c>
      <c r="AB6" s="188" t="s">
        <v>481</v>
      </c>
      <c r="AC6" s="79" t="s">
        <v>482</v>
      </c>
      <c r="AD6" s="57" t="s">
        <v>483</v>
      </c>
      <c r="AE6" s="57" t="s">
        <v>484</v>
      </c>
      <c r="AF6" s="79" t="s">
        <v>485</v>
      </c>
      <c r="AG6" s="79" t="s">
        <v>486</v>
      </c>
      <c r="AH6" s="79" t="s">
        <v>487</v>
      </c>
      <c r="AI6" s="79" t="s">
        <v>488</v>
      </c>
      <c r="AJ6" s="79" t="s">
        <v>489</v>
      </c>
      <c r="AK6" s="79" t="s">
        <v>490</v>
      </c>
      <c r="AL6" s="79" t="s">
        <v>486</v>
      </c>
      <c r="AM6" s="79" t="s">
        <v>487</v>
      </c>
      <c r="AN6" s="79" t="s">
        <v>491</v>
      </c>
      <c r="AO6" s="79" t="s">
        <v>492</v>
      </c>
      <c r="AP6" s="281" t="s">
        <v>581</v>
      </c>
      <c r="AQ6" s="281" t="s">
        <v>486</v>
      </c>
      <c r="AR6" s="281" t="s">
        <v>487</v>
      </c>
      <c r="AS6" s="281" t="s">
        <v>582</v>
      </c>
      <c r="AT6" s="281" t="s">
        <v>583</v>
      </c>
      <c r="AU6" s="281" t="s">
        <v>591</v>
      </c>
      <c r="AV6" s="281" t="s">
        <v>486</v>
      </c>
      <c r="AW6" s="281" t="s">
        <v>487</v>
      </c>
      <c r="AX6" s="281" t="s">
        <v>643</v>
      </c>
      <c r="AY6" s="281" t="s">
        <v>646</v>
      </c>
      <c r="AZ6" s="281" t="s">
        <v>644</v>
      </c>
      <c r="BA6" s="281" t="s">
        <v>486</v>
      </c>
      <c r="BB6" s="281" t="s">
        <v>487</v>
      </c>
      <c r="BC6" s="281" t="s">
        <v>645</v>
      </c>
      <c r="BD6" s="281" t="s">
        <v>647</v>
      </c>
    </row>
    <row r="7" spans="1:56" s="219" customFormat="1" ht="8.25">
      <c r="A7" s="217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7">
        <v>7</v>
      </c>
      <c r="H7" s="217">
        <v>8</v>
      </c>
      <c r="I7" s="217">
        <v>9</v>
      </c>
      <c r="J7" s="217">
        <v>10</v>
      </c>
      <c r="K7" s="217">
        <v>11</v>
      </c>
      <c r="L7" s="217">
        <v>12</v>
      </c>
      <c r="M7" s="217">
        <v>13</v>
      </c>
      <c r="N7" s="217">
        <v>14</v>
      </c>
      <c r="O7" s="217">
        <v>15</v>
      </c>
      <c r="P7" s="217">
        <v>16</v>
      </c>
      <c r="Q7" s="217">
        <v>17</v>
      </c>
      <c r="R7" s="217">
        <v>18</v>
      </c>
      <c r="S7" s="217">
        <v>19</v>
      </c>
      <c r="T7" s="217">
        <v>17</v>
      </c>
      <c r="U7" s="217">
        <v>18</v>
      </c>
      <c r="V7" s="217">
        <v>19</v>
      </c>
      <c r="W7" s="217">
        <v>17</v>
      </c>
      <c r="X7" s="217">
        <v>18</v>
      </c>
      <c r="Y7" s="218">
        <v>19</v>
      </c>
      <c r="Z7" s="217">
        <v>20</v>
      </c>
      <c r="AA7" s="217">
        <v>21</v>
      </c>
      <c r="AB7" s="218">
        <v>22</v>
      </c>
      <c r="AC7" s="217">
        <v>23</v>
      </c>
      <c r="AD7" s="217">
        <v>24</v>
      </c>
      <c r="AE7" s="217">
        <v>25</v>
      </c>
      <c r="AF7" s="217">
        <v>23</v>
      </c>
      <c r="AG7" s="217">
        <v>24</v>
      </c>
      <c r="AH7" s="217">
        <v>25</v>
      </c>
      <c r="AI7" s="219">
        <v>24</v>
      </c>
      <c r="AJ7" s="219">
        <v>25</v>
      </c>
      <c r="AK7" s="217">
        <v>23</v>
      </c>
      <c r="AL7" s="217">
        <v>24</v>
      </c>
      <c r="AM7" s="217">
        <v>25</v>
      </c>
      <c r="AN7" s="219">
        <v>24</v>
      </c>
      <c r="AO7" s="219">
        <v>25</v>
      </c>
      <c r="AP7" s="217">
        <v>23</v>
      </c>
      <c r="AQ7" s="217">
        <v>24</v>
      </c>
      <c r="AR7" s="217">
        <v>25</v>
      </c>
      <c r="AS7" s="219">
        <v>24</v>
      </c>
      <c r="AT7" s="219">
        <v>25</v>
      </c>
      <c r="AU7" s="217">
        <v>23</v>
      </c>
      <c r="AV7" s="217">
        <v>24</v>
      </c>
      <c r="AW7" s="217">
        <v>25</v>
      </c>
      <c r="AX7" s="219">
        <v>24</v>
      </c>
      <c r="AY7" s="219">
        <v>25</v>
      </c>
      <c r="AZ7" s="217">
        <v>23</v>
      </c>
      <c r="BA7" s="217">
        <v>24</v>
      </c>
      <c r="BB7" s="217">
        <v>25</v>
      </c>
      <c r="BC7" s="219">
        <v>24</v>
      </c>
      <c r="BD7" s="219">
        <v>25</v>
      </c>
    </row>
    <row r="8" spans="1:56" ht="15.75">
      <c r="A8" s="220" t="s">
        <v>3</v>
      </c>
      <c r="B8" s="221" t="s">
        <v>493</v>
      </c>
      <c r="C8" s="220">
        <v>200</v>
      </c>
      <c r="D8" s="220" t="s">
        <v>494</v>
      </c>
      <c r="E8" s="222" t="e">
        <f>+E9+E16+E27+E33</f>
        <v>#REF!</v>
      </c>
      <c r="F8" s="222" t="e">
        <f>+F9+F16+F27+F33</f>
        <v>#REF!</v>
      </c>
      <c r="G8" s="223" t="e">
        <f aca="true" t="shared" si="0" ref="G8:G13">+F8/E8</f>
        <v>#REF!</v>
      </c>
      <c r="H8" s="222" t="e">
        <f>+H9+H16+H27+H33</f>
        <v>#REF!</v>
      </c>
      <c r="I8" s="222" t="e">
        <f>+I9+I16+I27+I33</f>
        <v>#REF!</v>
      </c>
      <c r="J8" s="223" t="e">
        <f aca="true" t="shared" si="1" ref="J8:J13">+I8/H8</f>
        <v>#REF!</v>
      </c>
      <c r="K8" s="222" t="e">
        <f>+K9+K16+K27+K33</f>
        <v>#REF!</v>
      </c>
      <c r="L8" s="222" t="e">
        <f>+L9+L16+L27+L33</f>
        <v>#REF!</v>
      </c>
      <c r="M8" s="223" t="e">
        <f aca="true" t="shared" si="2" ref="M8:M13">+L8/K8</f>
        <v>#REF!</v>
      </c>
      <c r="N8" s="222" t="e">
        <f>+N9+N16+N27+N33</f>
        <v>#REF!</v>
      </c>
      <c r="O8" s="222" t="e">
        <f>+O9+O16+O27+O33</f>
        <v>#REF!</v>
      </c>
      <c r="P8" s="223" t="e">
        <f aca="true" t="shared" si="3" ref="P8:P13">+O8/N8</f>
        <v>#REF!</v>
      </c>
      <c r="Q8" s="222" t="e">
        <f>+Q9+Q16+Q27+Q33</f>
        <v>#REF!</v>
      </c>
      <c r="R8" s="222" t="e">
        <f>+R9+R16+R27+R33</f>
        <v>#REF!</v>
      </c>
      <c r="S8" s="223" t="e">
        <f aca="true" t="shared" si="4" ref="S8:S13">+R8/Q8</f>
        <v>#REF!</v>
      </c>
      <c r="T8" s="222" t="e">
        <f>+T9+T16+T27+T33</f>
        <v>#REF!</v>
      </c>
      <c r="U8" s="222" t="e">
        <f>+U9+U16+U27+U33</f>
        <v>#REF!</v>
      </c>
      <c r="V8" s="223" t="e">
        <f aca="true" t="shared" si="5" ref="V8:V13">+U8/T8</f>
        <v>#REF!</v>
      </c>
      <c r="W8" s="222" t="e">
        <f>+W9+W16+W27+W33</f>
        <v>#REF!</v>
      </c>
      <c r="X8" s="222" t="e">
        <f>+X9+X16+X27+X33</f>
        <v>#REF!</v>
      </c>
      <c r="Y8" s="224" t="e">
        <f aca="true" t="shared" si="6" ref="Y8:Y13">+X8/W8</f>
        <v>#REF!</v>
      </c>
      <c r="Z8" s="222" t="e">
        <f>+Z9+Z16+Z27+Z33</f>
        <v>#REF!</v>
      </c>
      <c r="AA8" s="222" t="e">
        <f>+AA9+AA16+AA27+AA33</f>
        <v>#REF!</v>
      </c>
      <c r="AB8" s="224" t="e">
        <f>AA8/Z8</f>
        <v>#REF!</v>
      </c>
      <c r="AC8" s="222" t="e">
        <f>AC9+AC16+AC27+AC33</f>
        <v>#REF!</v>
      </c>
      <c r="AD8" s="222" t="e">
        <f>AD9+AD16+AD27+AD33</f>
        <v>#REF!</v>
      </c>
      <c r="AE8" s="225" t="e">
        <f aca="true" t="shared" si="7" ref="AE8:AE13">AD8/AC8</f>
        <v>#REF!</v>
      </c>
      <c r="AF8" s="222">
        <f>AF9+AF16+AF27+AF33</f>
        <v>532772.09198</v>
      </c>
      <c r="AG8" s="222" t="e">
        <f>AG9+AG16+AG27+AG33</f>
        <v>#REF!</v>
      </c>
      <c r="AH8" s="225" t="e">
        <f aca="true" t="shared" si="8" ref="AH8:AH14">AG8/AF8</f>
        <v>#REF!</v>
      </c>
      <c r="AI8" s="222">
        <f>AI9+AI16+AI27+AI33</f>
        <v>527409.04289</v>
      </c>
      <c r="AJ8" s="225">
        <f>+AI8/AF8</f>
        <v>0.9899336899009318</v>
      </c>
      <c r="AK8" s="222">
        <f>AK9+AK16+AK27+AK33</f>
        <v>685477.9809500001</v>
      </c>
      <c r="AL8" s="222" t="e">
        <f>AL9+AL16+AL27+AL33</f>
        <v>#REF!</v>
      </c>
      <c r="AM8" s="225" t="e">
        <f aca="true" t="shared" si="9" ref="AM8:AM14">AL8/AK8</f>
        <v>#REF!</v>
      </c>
      <c r="AN8" s="222">
        <f>AN9+AN16+AN27+AN33</f>
        <v>672526.3551999999</v>
      </c>
      <c r="AO8" s="225">
        <f>+AN8/AK8</f>
        <v>0.9811057012625691</v>
      </c>
      <c r="AP8" s="222">
        <f>AP9+AP16+AP27+AP33</f>
        <v>772562.4508610001</v>
      </c>
      <c r="AQ8" s="222" t="e">
        <f>AQ9+AQ16+AQ27+AQ33</f>
        <v>#REF!</v>
      </c>
      <c r="AR8" s="225" t="e">
        <f aca="true" t="shared" si="10" ref="AR8:AR14">AQ8/AP8</f>
        <v>#REF!</v>
      </c>
      <c r="AS8" s="222">
        <f>AS9+AS16+AS27+AS33</f>
        <v>759644.7440499999</v>
      </c>
      <c r="AT8" s="225">
        <f>+AS8/AP8</f>
        <v>0.9832794011712531</v>
      </c>
      <c r="AU8" s="222">
        <f>AU9+AU16+AU27+AU33</f>
        <v>836218.5962600001</v>
      </c>
      <c r="AV8" s="222" t="e">
        <f>AV9+AV16+AV27+AV33</f>
        <v>#REF!</v>
      </c>
      <c r="AW8" s="225" t="e">
        <f aca="true" t="shared" si="11" ref="AW8:AW14">AV8/AU8</f>
        <v>#REF!</v>
      </c>
      <c r="AX8" s="222">
        <f>AX9+AX16+AX27+AX33</f>
        <v>825862.3227799999</v>
      </c>
      <c r="AY8" s="225">
        <f>+AX8/AU8</f>
        <v>0.9876153513850101</v>
      </c>
      <c r="AZ8" s="222">
        <f>AZ9+AZ16+AZ27+AZ33</f>
        <v>710560.02168</v>
      </c>
      <c r="BA8" s="222" t="e">
        <f>BA9+BA16+BA27+BA33</f>
        <v>#REF!</v>
      </c>
      <c r="BB8" s="225" t="e">
        <f aca="true" t="shared" si="12" ref="BB8:BB14">BA8/AZ8</f>
        <v>#REF!</v>
      </c>
      <c r="BC8" s="222">
        <f>BC9+BC16+BC27+BC33</f>
        <v>685868.58552</v>
      </c>
      <c r="BD8" s="225">
        <f>+BC8/AZ8</f>
        <v>0.9652507382815863</v>
      </c>
    </row>
    <row r="9" spans="1:56" ht="31.5">
      <c r="A9" s="153" t="s">
        <v>495</v>
      </c>
      <c r="B9" s="226" t="s">
        <v>496</v>
      </c>
      <c r="C9" s="153">
        <v>210</v>
      </c>
      <c r="D9" s="153">
        <v>21000</v>
      </c>
      <c r="E9" s="227" t="e">
        <f>E10+E12+E13</f>
        <v>#REF!</v>
      </c>
      <c r="F9" s="227" t="e">
        <f>F10+F12+F13</f>
        <v>#REF!</v>
      </c>
      <c r="G9" s="228" t="e">
        <f t="shared" si="0"/>
        <v>#REF!</v>
      </c>
      <c r="H9" s="227" t="e">
        <f>H10+H12+H13</f>
        <v>#REF!</v>
      </c>
      <c r="I9" s="227" t="e">
        <f>I10+I12+I13</f>
        <v>#REF!</v>
      </c>
      <c r="J9" s="228" t="e">
        <f t="shared" si="1"/>
        <v>#REF!</v>
      </c>
      <c r="K9" s="227" t="e">
        <f>K10+K12+K13</f>
        <v>#REF!</v>
      </c>
      <c r="L9" s="227" t="e">
        <f>L10+L12+L13</f>
        <v>#REF!</v>
      </c>
      <c r="M9" s="228" t="e">
        <f t="shared" si="2"/>
        <v>#REF!</v>
      </c>
      <c r="N9" s="227" t="e">
        <f>N10+N12+N13</f>
        <v>#REF!</v>
      </c>
      <c r="O9" s="227" t="e">
        <f>O10+O12+O13</f>
        <v>#REF!</v>
      </c>
      <c r="P9" s="228" t="e">
        <f t="shared" si="3"/>
        <v>#REF!</v>
      </c>
      <c r="Q9" s="227" t="e">
        <f>Q10+Q12+Q13</f>
        <v>#REF!</v>
      </c>
      <c r="R9" s="227" t="e">
        <f>R10+R12+R13</f>
        <v>#REF!</v>
      </c>
      <c r="S9" s="228" t="e">
        <f t="shared" si="4"/>
        <v>#REF!</v>
      </c>
      <c r="T9" s="227" t="e">
        <f>T10+T12+T13</f>
        <v>#REF!</v>
      </c>
      <c r="U9" s="227" t="e">
        <f>U10+U12+U13</f>
        <v>#REF!</v>
      </c>
      <c r="V9" s="228" t="e">
        <f t="shared" si="5"/>
        <v>#REF!</v>
      </c>
      <c r="W9" s="227" t="e">
        <f>W10+W12+W13</f>
        <v>#REF!</v>
      </c>
      <c r="X9" s="227" t="e">
        <f>X10+X12+X13</f>
        <v>#REF!</v>
      </c>
      <c r="Y9" s="229" t="e">
        <f t="shared" si="6"/>
        <v>#REF!</v>
      </c>
      <c r="Z9" s="227" t="e">
        <f>Z10+Z12+Z13</f>
        <v>#REF!</v>
      </c>
      <c r="AA9" s="227" t="e">
        <f>AA10+AA12+AA13</f>
        <v>#REF!</v>
      </c>
      <c r="AB9" s="229" t="e">
        <f>AA9/Z9</f>
        <v>#REF!</v>
      </c>
      <c r="AC9" s="227">
        <f>AC10+AC12+AC13</f>
        <v>27945.430109999998</v>
      </c>
      <c r="AD9" s="227" t="e">
        <f>AD10+AD12+AD13</f>
        <v>#REF!</v>
      </c>
      <c r="AE9" s="230" t="e">
        <f t="shared" si="7"/>
        <v>#REF!</v>
      </c>
      <c r="AF9" s="227">
        <f>AF10+AF12+AF13+AF14</f>
        <v>28554.31186</v>
      </c>
      <c r="AG9" s="227" t="e">
        <f>AG10+AG12+AG13+AG14</f>
        <v>#REF!</v>
      </c>
      <c r="AH9" s="230" t="e">
        <f t="shared" si="8"/>
        <v>#REF!</v>
      </c>
      <c r="AI9" s="227">
        <f>AI10+AI12+AI13+AI14</f>
        <v>28230.1475</v>
      </c>
      <c r="AJ9" s="230">
        <f>+AI9/AF9</f>
        <v>0.9886474462564757</v>
      </c>
      <c r="AK9" s="227">
        <f>AK10+AK12+AK13+AK14</f>
        <v>31340.595789999996</v>
      </c>
      <c r="AL9" s="227" t="e">
        <f>AL10+AL12+AL13+AL14</f>
        <v>#REF!</v>
      </c>
      <c r="AM9" s="230" t="e">
        <f t="shared" si="9"/>
        <v>#REF!</v>
      </c>
      <c r="AN9" s="227">
        <f>AN10+AN12+AN13+AN14</f>
        <v>30921.26655</v>
      </c>
      <c r="AO9" s="230">
        <f>+AN9/AK9</f>
        <v>0.9866202530797519</v>
      </c>
      <c r="AP9" s="227">
        <f>AP10+AP12+AP13+AP14</f>
        <v>32538.6023</v>
      </c>
      <c r="AQ9" s="227" t="e">
        <f>AQ10+AQ12+AQ13+AQ14</f>
        <v>#REF!</v>
      </c>
      <c r="AR9" s="230" t="e">
        <f t="shared" si="10"/>
        <v>#REF!</v>
      </c>
      <c r="AS9" s="227">
        <f>AS10+AS12+AS13+AS14</f>
        <v>32302.337059999998</v>
      </c>
      <c r="AT9" s="230">
        <f>+AS9/AP9</f>
        <v>0.9927389247447792</v>
      </c>
      <c r="AU9" s="227">
        <f>AU10+AU12+AU13+AU14</f>
        <v>34297.73668</v>
      </c>
      <c r="AV9" s="227" t="e">
        <f>AV10+AV12+AV13+AV14</f>
        <v>#REF!</v>
      </c>
      <c r="AW9" s="230" t="e">
        <f t="shared" si="11"/>
        <v>#REF!</v>
      </c>
      <c r="AX9" s="227">
        <f>AX10+AX12+AX13+AX14</f>
        <v>34108.7898</v>
      </c>
      <c r="AY9" s="230">
        <f>+AX9/AU9</f>
        <v>0.9944909810882598</v>
      </c>
      <c r="AZ9" s="227">
        <f>AZ10+AZ12+AZ13+AZ14</f>
        <v>37713.311</v>
      </c>
      <c r="BA9" s="227" t="e">
        <f>BA10+BA12+BA13+BA14</f>
        <v>#REF!</v>
      </c>
      <c r="BB9" s="230" t="e">
        <f t="shared" si="12"/>
        <v>#REF!</v>
      </c>
      <c r="BC9" s="227">
        <f>BC10+BC12+BC13+BC14</f>
        <v>37566.18497</v>
      </c>
      <c r="BD9" s="230">
        <f>+BC9/AZ9</f>
        <v>0.9960988301981759</v>
      </c>
    </row>
    <row r="10" spans="1:56" ht="15.75">
      <c r="A10" s="101" t="s">
        <v>497</v>
      </c>
      <c r="B10" s="57" t="s">
        <v>498</v>
      </c>
      <c r="C10" s="101">
        <v>211</v>
      </c>
      <c r="D10" s="101">
        <v>21100</v>
      </c>
      <c r="E10" s="231">
        <f>SUM(E11:E11)</f>
        <v>11930.74</v>
      </c>
      <c r="F10" s="231">
        <f>SUM(F11:F11)</f>
        <v>11930.51</v>
      </c>
      <c r="G10" s="232">
        <f t="shared" si="0"/>
        <v>0.9999807220675332</v>
      </c>
      <c r="H10" s="231">
        <f>SUM(H11:H11)</f>
        <v>13462.5</v>
      </c>
      <c r="I10" s="231">
        <f>SUM(I11:I11)</f>
        <v>13462.49</v>
      </c>
      <c r="J10" s="232">
        <f t="shared" si="1"/>
        <v>0.9999992571959145</v>
      </c>
      <c r="K10" s="231">
        <f>SUM(K11:K11)</f>
        <v>15138.22</v>
      </c>
      <c r="L10" s="231">
        <f>SUM(L11:L11)</f>
        <v>15138.22</v>
      </c>
      <c r="M10" s="232">
        <f t="shared" si="2"/>
        <v>1</v>
      </c>
      <c r="N10" s="231">
        <f>SUM(N11:N11)</f>
        <v>16031.37</v>
      </c>
      <c r="O10" s="231">
        <f>SUM(O11:O11)</f>
        <v>16031.37</v>
      </c>
      <c r="P10" s="232">
        <f t="shared" si="3"/>
        <v>1</v>
      </c>
      <c r="Q10" s="231">
        <f>SUM(Q11:Q11)</f>
        <v>17494.46</v>
      </c>
      <c r="R10" s="231">
        <f>SUM(R11:R11)</f>
        <v>17494.46</v>
      </c>
      <c r="S10" s="232">
        <f t="shared" si="4"/>
        <v>1</v>
      </c>
      <c r="T10" s="231">
        <f>SUM(T11:T11)</f>
        <v>17055.82218</v>
      </c>
      <c r="U10" s="231">
        <f>SUM(U11:U11)</f>
        <v>17055.82218</v>
      </c>
      <c r="V10" s="232">
        <f t="shared" si="5"/>
        <v>1</v>
      </c>
      <c r="W10" s="231">
        <f>SUM(W11:W11)</f>
        <v>19350.98389</v>
      </c>
      <c r="X10" s="231">
        <f>SUM(X11:X11)</f>
        <v>19325.03012</v>
      </c>
      <c r="Y10" s="233">
        <f t="shared" si="6"/>
        <v>0.9986587880932808</v>
      </c>
      <c r="Z10" s="231">
        <f>SUM(Z11:Z11)</f>
        <v>20200.1</v>
      </c>
      <c r="AA10" s="231">
        <f>SUM(AA11:AA11)</f>
        <v>20196.594530000002</v>
      </c>
      <c r="AB10" s="233">
        <f>+AA10/Z10</f>
        <v>0.9998264627402836</v>
      </c>
      <c r="AC10" s="234">
        <f>(21031225)/1000</f>
        <v>21031.225</v>
      </c>
      <c r="AD10" s="234">
        <f>21021403.21/1000</f>
        <v>21021.40321</v>
      </c>
      <c r="AE10" s="235">
        <f t="shared" si="7"/>
        <v>0.9995329901135099</v>
      </c>
      <c r="AF10" s="234">
        <f>AF11</f>
        <v>21302.54086</v>
      </c>
      <c r="AG10" s="234">
        <f>AG11</f>
        <v>10945.52123</v>
      </c>
      <c r="AH10" s="235">
        <f t="shared" si="8"/>
        <v>0.5138129438142526</v>
      </c>
      <c r="AI10" s="234">
        <f>AI11</f>
        <v>21292.29218</v>
      </c>
      <c r="AJ10" s="235">
        <f>AI10/AF10</f>
        <v>0.9995188987047435</v>
      </c>
      <c r="AK10" s="234">
        <f>AK11</f>
        <v>23419.218229999995</v>
      </c>
      <c r="AL10" s="234">
        <f>AL11</f>
        <v>10945.52123</v>
      </c>
      <c r="AM10" s="235">
        <f t="shared" si="9"/>
        <v>0.46737346748743297</v>
      </c>
      <c r="AN10" s="234">
        <f>AN11</f>
        <v>23419.218230000002</v>
      </c>
      <c r="AO10" s="235">
        <f>AN10/AK10</f>
        <v>1.0000000000000002</v>
      </c>
      <c r="AP10" s="234">
        <f>AP11</f>
        <v>24310.488</v>
      </c>
      <c r="AQ10" s="234">
        <f>AQ11</f>
        <v>10945.52123</v>
      </c>
      <c r="AR10" s="235">
        <f t="shared" si="10"/>
        <v>0.45023864720444934</v>
      </c>
      <c r="AS10" s="234">
        <f>AS11</f>
        <v>24308.32876</v>
      </c>
      <c r="AT10" s="235">
        <f>AS10/AP10</f>
        <v>0.9999111807216704</v>
      </c>
      <c r="AU10" s="234">
        <f>AU11</f>
        <v>25676.628230000002</v>
      </c>
      <c r="AV10" s="234">
        <f>AV11</f>
        <v>10945.52123</v>
      </c>
      <c r="AW10" s="235">
        <f t="shared" si="11"/>
        <v>0.426283433009771</v>
      </c>
      <c r="AX10" s="234">
        <f>AX11</f>
        <v>25674.90429</v>
      </c>
      <c r="AY10" s="235">
        <f>AX10/AU10</f>
        <v>0.9999328595645596</v>
      </c>
      <c r="AZ10" s="234">
        <f>AZ11</f>
        <v>28308.80433</v>
      </c>
      <c r="BA10" s="234">
        <f>BA11</f>
        <v>10945.52123</v>
      </c>
      <c r="BB10" s="235">
        <f t="shared" si="12"/>
        <v>0.38664724593827454</v>
      </c>
      <c r="BC10" s="234">
        <f>BC11</f>
        <v>28308.80433</v>
      </c>
      <c r="BD10" s="235">
        <f>BC10/AZ10</f>
        <v>1</v>
      </c>
    </row>
    <row r="11" spans="1:56" ht="31.5">
      <c r="A11" s="114" t="s">
        <v>499</v>
      </c>
      <c r="B11" s="38" t="s">
        <v>500</v>
      </c>
      <c r="C11" s="114">
        <v>211</v>
      </c>
      <c r="D11" s="114" t="s">
        <v>501</v>
      </c>
      <c r="E11" s="179">
        <v>11930.74</v>
      </c>
      <c r="F11" s="179">
        <v>11930.51</v>
      </c>
      <c r="G11" s="235">
        <f t="shared" si="0"/>
        <v>0.9999807220675332</v>
      </c>
      <c r="H11" s="179">
        <v>13462.5</v>
      </c>
      <c r="I11" s="179">
        <v>13462.49</v>
      </c>
      <c r="J11" s="235">
        <f t="shared" si="1"/>
        <v>0.9999992571959145</v>
      </c>
      <c r="K11" s="180">
        <v>15138.22</v>
      </c>
      <c r="L11" s="180">
        <v>15138.22</v>
      </c>
      <c r="M11" s="235">
        <f t="shared" si="2"/>
        <v>1</v>
      </c>
      <c r="N11" s="180">
        <v>16031.37</v>
      </c>
      <c r="O11" s="180">
        <v>16031.37</v>
      </c>
      <c r="P11" s="235">
        <f t="shared" si="3"/>
        <v>1</v>
      </c>
      <c r="Q11" s="236">
        <f>17475.41+19.05</f>
        <v>17494.46</v>
      </c>
      <c r="R11" s="236">
        <f>17494.46</f>
        <v>17494.46</v>
      </c>
      <c r="S11" s="235">
        <f t="shared" si="4"/>
        <v>1</v>
      </c>
      <c r="T11" s="236">
        <f>17055822.18/1000</f>
        <v>17055.82218</v>
      </c>
      <c r="U11" s="236">
        <f>17055822.18/1000</f>
        <v>17055.82218</v>
      </c>
      <c r="V11" s="235">
        <f t="shared" si="5"/>
        <v>1</v>
      </c>
      <c r="W11" s="236">
        <f>(19020700+20049.92+4101.7+306132.27)/1000</f>
        <v>19350.98389</v>
      </c>
      <c r="X11" s="236">
        <f>(280210.83+20049.92+4069.37+19020700)/1000</f>
        <v>19325.03012</v>
      </c>
      <c r="Y11" s="237">
        <f t="shared" si="6"/>
        <v>0.9986587880932808</v>
      </c>
      <c r="Z11" s="180">
        <f>(19865265.05+4665.38+21034.09+309135.48)/1000</f>
        <v>20200.1</v>
      </c>
      <c r="AA11" s="180">
        <f>(19865265.05+4109.03+21034.09+306186.36)/1000</f>
        <v>20196.594530000002</v>
      </c>
      <c r="AB11" s="237">
        <f>+AA11/Z11</f>
        <v>0.9998264627402836</v>
      </c>
      <c r="AC11" s="180">
        <v>21030.83234</v>
      </c>
      <c r="AD11" s="180">
        <f>21021403.21/1000</f>
        <v>21021.40321</v>
      </c>
      <c r="AE11" s="235">
        <f t="shared" si="7"/>
        <v>0.9995516520769334</v>
      </c>
      <c r="AF11" s="180">
        <f>(21361813-59272.14)/1000</f>
        <v>21302.54086</v>
      </c>
      <c r="AG11" s="180">
        <f>(10981575.26-36054.03)/1000</f>
        <v>10945.52123</v>
      </c>
      <c r="AH11" s="235">
        <f t="shared" si="8"/>
        <v>0.5138129438142526</v>
      </c>
      <c r="AI11" s="180">
        <f>(21351564.32-59272.14)/1000</f>
        <v>21292.29218</v>
      </c>
      <c r="AJ11" s="235">
        <f>AI11/AF11</f>
        <v>0.9995188987047435</v>
      </c>
      <c r="AK11" s="180">
        <f>(22536552.78+6514.99+25011.33+315700+535439.13)/1000</f>
        <v>23419.218229999995</v>
      </c>
      <c r="AL11" s="180">
        <f>(10981575.26-36054.03)/1000</f>
        <v>10945.52123</v>
      </c>
      <c r="AM11" s="235">
        <f t="shared" si="9"/>
        <v>0.46737346748743297</v>
      </c>
      <c r="AN11" s="180">
        <f>(535439.13+315700+25011.33+6514.99+22536552.78)/1000</f>
        <v>23419.218230000002</v>
      </c>
      <c r="AO11" s="235">
        <f>AN11/AK11</f>
        <v>1.0000000000000002</v>
      </c>
      <c r="AP11" s="180">
        <f>(24310488)/1000</f>
        <v>24310.488</v>
      </c>
      <c r="AQ11" s="180">
        <f>(10981575.26-36054.03)/1000</f>
        <v>10945.52123</v>
      </c>
      <c r="AR11" s="235">
        <f t="shared" si="10"/>
        <v>0.45023864720444934</v>
      </c>
      <c r="AS11" s="180">
        <f>(23150817.68+334895.87+822615.21)/1000</f>
        <v>24308.32876</v>
      </c>
      <c r="AT11" s="235">
        <f>AS11/AP11</f>
        <v>0.9999111807216704</v>
      </c>
      <c r="AU11" s="180">
        <f>(25676628.23)/1000</f>
        <v>25676.628230000002</v>
      </c>
      <c r="AV11" s="180">
        <f>(10981575.26-36054.03)/1000</f>
        <v>10945.52123</v>
      </c>
      <c r="AW11" s="235">
        <f t="shared" si="11"/>
        <v>0.426283433009771</v>
      </c>
      <c r="AX11" s="180">
        <f>(25674904.29)/1000</f>
        <v>25674.90429</v>
      </c>
      <c r="AY11" s="235">
        <f>AX11/AU11</f>
        <v>0.9999328595645596</v>
      </c>
      <c r="AZ11" s="180">
        <f>28308804.33/1000</f>
        <v>28308.80433</v>
      </c>
      <c r="BA11" s="180">
        <f>(10981575.26-36054.03)/1000</f>
        <v>10945.52123</v>
      </c>
      <c r="BB11" s="235">
        <f t="shared" si="12"/>
        <v>0.38664724593827454</v>
      </c>
      <c r="BC11" s="180">
        <f>28308804.33/1000</f>
        <v>28308.80433</v>
      </c>
      <c r="BD11" s="235">
        <f>BC11/AZ11</f>
        <v>1</v>
      </c>
    </row>
    <row r="12" spans="1:56" ht="15.75">
      <c r="A12" s="101" t="s">
        <v>502</v>
      </c>
      <c r="B12" s="57" t="s">
        <v>503</v>
      </c>
      <c r="C12" s="101">
        <v>212</v>
      </c>
      <c r="D12" s="101">
        <v>21200</v>
      </c>
      <c r="E12" s="179" t="e">
        <f>SUM(#REF!)</f>
        <v>#REF!</v>
      </c>
      <c r="F12" s="179" t="e">
        <f>SUM(#REF!)</f>
        <v>#REF!</v>
      </c>
      <c r="G12" s="235" t="e">
        <f t="shared" si="0"/>
        <v>#REF!</v>
      </c>
      <c r="H12" s="179" t="e">
        <f>SUM(#REF!)</f>
        <v>#REF!</v>
      </c>
      <c r="I12" s="179" t="e">
        <f>SUM(#REF!)</f>
        <v>#REF!</v>
      </c>
      <c r="J12" s="235" t="e">
        <f t="shared" si="1"/>
        <v>#REF!</v>
      </c>
      <c r="K12" s="179" t="e">
        <f>SUM(#REF!)</f>
        <v>#REF!</v>
      </c>
      <c r="L12" s="179" t="e">
        <f>SUM(#REF!)</f>
        <v>#REF!</v>
      </c>
      <c r="M12" s="235" t="e">
        <f t="shared" si="2"/>
        <v>#REF!</v>
      </c>
      <c r="N12" s="179" t="e">
        <f>SUM(#REF!)</f>
        <v>#REF!</v>
      </c>
      <c r="O12" s="179" t="e">
        <f>SUM(#REF!)</f>
        <v>#REF!</v>
      </c>
      <c r="P12" s="235" t="e">
        <f t="shared" si="3"/>
        <v>#REF!</v>
      </c>
      <c r="Q12" s="236" t="e">
        <f>SUM(#REF!)</f>
        <v>#REF!</v>
      </c>
      <c r="R12" s="236" t="e">
        <f>SUM(#REF!)</f>
        <v>#REF!</v>
      </c>
      <c r="S12" s="235" t="e">
        <f t="shared" si="4"/>
        <v>#REF!</v>
      </c>
      <c r="T12" s="236" t="e">
        <f>SUM(#REF!)</f>
        <v>#REF!</v>
      </c>
      <c r="U12" s="236" t="e">
        <f>SUM(#REF!)</f>
        <v>#REF!</v>
      </c>
      <c r="V12" s="235" t="e">
        <f t="shared" si="5"/>
        <v>#REF!</v>
      </c>
      <c r="W12" s="236" t="e">
        <f>SUM(#REF!)</f>
        <v>#REF!</v>
      </c>
      <c r="X12" s="236" t="e">
        <f>SUM(#REF!)</f>
        <v>#REF!</v>
      </c>
      <c r="Y12" s="237" t="e">
        <f t="shared" si="6"/>
        <v>#REF!</v>
      </c>
      <c r="Z12" s="234" t="e">
        <f>#REF!</f>
        <v>#REF!</v>
      </c>
      <c r="AA12" s="234" t="e">
        <f>#REF!</f>
        <v>#REF!</v>
      </c>
      <c r="AB12" s="233" t="e">
        <f>AA12/Z12</f>
        <v>#REF!</v>
      </c>
      <c r="AC12" s="234">
        <f>(489152)/1000</f>
        <v>489.152</v>
      </c>
      <c r="AD12" s="234" t="e">
        <f>#REF!</f>
        <v>#REF!</v>
      </c>
      <c r="AE12" s="235" t="e">
        <f t="shared" si="7"/>
        <v>#REF!</v>
      </c>
      <c r="AF12" s="234">
        <f>0</f>
        <v>0</v>
      </c>
      <c r="AG12" s="234" t="e">
        <f>#REF!+#REF!</f>
        <v>#REF!</v>
      </c>
      <c r="AH12" s="235" t="e">
        <f t="shared" si="8"/>
        <v>#REF!</v>
      </c>
      <c r="AI12" s="234">
        <v>0</v>
      </c>
      <c r="AJ12" s="235"/>
      <c r="AK12" s="234">
        <v>0</v>
      </c>
      <c r="AL12" s="234" t="e">
        <f>#REF!+#REF!</f>
        <v>#REF!</v>
      </c>
      <c r="AM12" s="235" t="e">
        <f t="shared" si="9"/>
        <v>#REF!</v>
      </c>
      <c r="AN12" s="234">
        <v>0</v>
      </c>
      <c r="AO12" s="235"/>
      <c r="AP12" s="234">
        <v>0</v>
      </c>
      <c r="AQ12" s="234" t="e">
        <f>#REF!+#REF!</f>
        <v>#REF!</v>
      </c>
      <c r="AR12" s="235" t="e">
        <f t="shared" si="10"/>
        <v>#REF!</v>
      </c>
      <c r="AS12" s="234">
        <v>0</v>
      </c>
      <c r="AT12" s="235"/>
      <c r="AU12" s="234">
        <v>0</v>
      </c>
      <c r="AV12" s="234" t="e">
        <f>#REF!+#REF!</f>
        <v>#REF!</v>
      </c>
      <c r="AW12" s="235" t="e">
        <f t="shared" si="11"/>
        <v>#REF!</v>
      </c>
      <c r="AX12" s="234">
        <v>0</v>
      </c>
      <c r="AY12" s="235"/>
      <c r="AZ12" s="234">
        <f>2000/1000</f>
        <v>2</v>
      </c>
      <c r="BA12" s="234" t="e">
        <f>#REF!+#REF!</f>
        <v>#REF!</v>
      </c>
      <c r="BB12" s="235" t="e">
        <f t="shared" si="12"/>
        <v>#REF!</v>
      </c>
      <c r="BC12" s="234">
        <f>2000/1000</f>
        <v>2</v>
      </c>
      <c r="BD12" s="235">
        <f>BC12/AZ12</f>
        <v>1</v>
      </c>
    </row>
    <row r="13" spans="1:56" ht="15.75">
      <c r="A13" s="101" t="s">
        <v>505</v>
      </c>
      <c r="B13" s="57" t="s">
        <v>506</v>
      </c>
      <c r="C13" s="101">
        <v>213</v>
      </c>
      <c r="D13" s="101">
        <v>21300</v>
      </c>
      <c r="E13" s="179">
        <v>3025.53</v>
      </c>
      <c r="F13" s="179">
        <v>2910.46</v>
      </c>
      <c r="G13" s="235">
        <f t="shared" si="0"/>
        <v>0.9619669942125841</v>
      </c>
      <c r="H13" s="179">
        <v>4604.08</v>
      </c>
      <c r="I13" s="179">
        <v>4274.77</v>
      </c>
      <c r="J13" s="235">
        <f t="shared" si="1"/>
        <v>0.9284743097426631</v>
      </c>
      <c r="K13" s="180">
        <v>4571.74</v>
      </c>
      <c r="L13" s="180">
        <v>4366.38</v>
      </c>
      <c r="M13" s="235">
        <f t="shared" si="2"/>
        <v>0.9550805601368407</v>
      </c>
      <c r="N13" s="180">
        <v>4841.48</v>
      </c>
      <c r="O13" s="180">
        <v>4771.86</v>
      </c>
      <c r="P13" s="235">
        <f t="shared" si="3"/>
        <v>0.9856200996389534</v>
      </c>
      <c r="Q13" s="236">
        <f>5007.5+5.8+60.8</f>
        <v>5074.1</v>
      </c>
      <c r="R13" s="236">
        <v>5060.93</v>
      </c>
      <c r="S13" s="235">
        <f t="shared" si="4"/>
        <v>0.997404465816598</v>
      </c>
      <c r="T13" s="236">
        <f>(5150858)/1000</f>
        <v>5150.858</v>
      </c>
      <c r="U13" s="236">
        <f>5050461.15/1000</f>
        <v>5050.46115</v>
      </c>
      <c r="V13" s="235">
        <f t="shared" si="5"/>
        <v>0.9805087133056279</v>
      </c>
      <c r="W13" s="236">
        <f>(5744300+6055.08+1238.71+92451.95)/1000</f>
        <v>5844.0457400000005</v>
      </c>
      <c r="X13" s="236">
        <f>(84623.67+6055.08+1228.95+5635532.72)/1000</f>
        <v>5727.44042</v>
      </c>
      <c r="Y13" s="237">
        <f t="shared" si="6"/>
        <v>0.9800471582209074</v>
      </c>
      <c r="Z13" s="180">
        <f>(93358.92+6352.3+1408.95+5999279.83)/1000</f>
        <v>6100.4</v>
      </c>
      <c r="AA13" s="180">
        <f>(92468.28+6352.3+1240.93+5967037.66)/1000</f>
        <v>6067.0991699999995</v>
      </c>
      <c r="AB13" s="237">
        <f>AA13/Z13</f>
        <v>0.9945412054947216</v>
      </c>
      <c r="AC13" s="180">
        <f>(6425053.11)/1000</f>
        <v>6425.053110000001</v>
      </c>
      <c r="AD13" s="180">
        <f>6407643.2/1000</f>
        <v>6407.6432</v>
      </c>
      <c r="AE13" s="235">
        <f t="shared" si="7"/>
        <v>0.9972903087800312</v>
      </c>
      <c r="AF13" s="180">
        <f>6519671/1000</f>
        <v>6519.671</v>
      </c>
      <c r="AG13" s="180">
        <f>3276466.94/1000</f>
        <v>3276.46694</v>
      </c>
      <c r="AH13" s="235">
        <f t="shared" si="8"/>
        <v>0.502550963077738</v>
      </c>
      <c r="AI13" s="180">
        <f>6380465.32/1000</f>
        <v>6380.46532</v>
      </c>
      <c r="AJ13" s="235">
        <f>AI13/AF13</f>
        <v>0.9786483581763559</v>
      </c>
      <c r="AK13" s="180">
        <f>(6825012+1967.53+7553.42+95342+161702.61+68400)/1000</f>
        <v>7159.97756</v>
      </c>
      <c r="AL13" s="180">
        <f>3276466.94/1000</f>
        <v>3276.46694</v>
      </c>
      <c r="AM13" s="235">
        <f t="shared" si="9"/>
        <v>0.4576085487061219</v>
      </c>
      <c r="AN13" s="180">
        <f>(161702.61+95342+7553.42+1967.53+6749166.91)/1000</f>
        <v>7015.73247</v>
      </c>
      <c r="AO13" s="235">
        <f>AN13/AK13</f>
        <v>0.9798539745702778</v>
      </c>
      <c r="AP13" s="180">
        <f>(7425014.3)/1000</f>
        <v>7425.0143</v>
      </c>
      <c r="AQ13" s="180">
        <f>3276466.94/1000</f>
        <v>3276.46694</v>
      </c>
      <c r="AR13" s="235">
        <f t="shared" si="10"/>
        <v>0.4412741588928657</v>
      </c>
      <c r="AS13" s="180">
        <f>(6916099.5+101138.79+248429.79)/1000</f>
        <v>7265.66808</v>
      </c>
      <c r="AT13" s="235">
        <f>AS13/AP13</f>
        <v>0.9785392709614041</v>
      </c>
      <c r="AU13" s="180">
        <f>7834364/1000</f>
        <v>7834.364</v>
      </c>
      <c r="AV13" s="180">
        <f>3276466.94/1000</f>
        <v>3276.46694</v>
      </c>
      <c r="AW13" s="235">
        <f t="shared" si="11"/>
        <v>0.4182173485939637</v>
      </c>
      <c r="AX13" s="180">
        <f>7680108.03/1000</f>
        <v>7680.10803</v>
      </c>
      <c r="AY13" s="235">
        <f>AX13/AU13</f>
        <v>0.9803103391672893</v>
      </c>
      <c r="AZ13" s="180">
        <f>8592206.67/1000</f>
        <v>8592.20667</v>
      </c>
      <c r="BA13" s="180">
        <f>3276466.94/1000</f>
        <v>3276.46694</v>
      </c>
      <c r="BB13" s="235">
        <f t="shared" si="12"/>
        <v>0.3813300896776497</v>
      </c>
      <c r="BC13" s="180">
        <f>8509230.77/1000</f>
        <v>8509.23077</v>
      </c>
      <c r="BD13" s="235">
        <f>BC13/AZ13</f>
        <v>0.9903428882489859</v>
      </c>
    </row>
    <row r="14" spans="1:56" ht="31.5">
      <c r="A14" s="101"/>
      <c r="B14" s="57" t="s">
        <v>507</v>
      </c>
      <c r="C14" s="101">
        <v>214</v>
      </c>
      <c r="D14" s="101">
        <v>214</v>
      </c>
      <c r="E14" s="179"/>
      <c r="F14" s="179"/>
      <c r="G14" s="235"/>
      <c r="H14" s="179"/>
      <c r="I14" s="179"/>
      <c r="J14" s="235"/>
      <c r="K14" s="180"/>
      <c r="L14" s="180"/>
      <c r="M14" s="235"/>
      <c r="N14" s="180"/>
      <c r="O14" s="180"/>
      <c r="P14" s="235"/>
      <c r="Q14" s="236"/>
      <c r="R14" s="236"/>
      <c r="S14" s="235"/>
      <c r="T14" s="236"/>
      <c r="U14" s="236"/>
      <c r="V14" s="235"/>
      <c r="W14" s="236"/>
      <c r="X14" s="236"/>
      <c r="Y14" s="237"/>
      <c r="Z14" s="180"/>
      <c r="AA14" s="180"/>
      <c r="AB14" s="237"/>
      <c r="AC14" s="180"/>
      <c r="AD14" s="180"/>
      <c r="AE14" s="235"/>
      <c r="AF14" s="180">
        <v>732.1</v>
      </c>
      <c r="AG14" s="180">
        <f>363575.3/1000</f>
        <v>363.57529999999997</v>
      </c>
      <c r="AH14" s="235">
        <f t="shared" si="8"/>
        <v>0.4966197240814096</v>
      </c>
      <c r="AI14" s="180">
        <v>557.39</v>
      </c>
      <c r="AJ14" s="235">
        <f>AI14/AF14</f>
        <v>0.7613577380139325</v>
      </c>
      <c r="AK14" s="180">
        <f>761400/1000</f>
        <v>761.4</v>
      </c>
      <c r="AL14" s="180">
        <f>363575.3/1000</f>
        <v>363.57529999999997</v>
      </c>
      <c r="AM14" s="235">
        <f t="shared" si="9"/>
        <v>0.4775089309167323</v>
      </c>
      <c r="AN14" s="180">
        <f>486315.85/1000</f>
        <v>486.31584999999995</v>
      </c>
      <c r="AO14" s="235">
        <f>AN14/AK14</f>
        <v>0.6387127002889413</v>
      </c>
      <c r="AP14" s="180">
        <f>803100/1000</f>
        <v>803.1</v>
      </c>
      <c r="AQ14" s="180">
        <f>363575.3/1000</f>
        <v>363.57529999999997</v>
      </c>
      <c r="AR14" s="235">
        <f t="shared" si="10"/>
        <v>0.4527148549371186</v>
      </c>
      <c r="AS14" s="180">
        <f>728340.22/1000</f>
        <v>728.3402199999999</v>
      </c>
      <c r="AT14" s="235">
        <f>AS14/AP14</f>
        <v>0.9069109948947826</v>
      </c>
      <c r="AU14" s="180">
        <f>786744.45/1000</f>
        <v>786.7444499999999</v>
      </c>
      <c r="AV14" s="180">
        <f>363575.3/1000</f>
        <v>363.57529999999997</v>
      </c>
      <c r="AW14" s="235">
        <f t="shared" si="11"/>
        <v>0.4621262978086468</v>
      </c>
      <c r="AX14" s="180">
        <f>753777.48/1000</f>
        <v>753.77748</v>
      </c>
      <c r="AY14" s="235">
        <f>AX14/AU14</f>
        <v>0.958096977995841</v>
      </c>
      <c r="AZ14" s="180">
        <f>810300/1000</f>
        <v>810.3</v>
      </c>
      <c r="BA14" s="180">
        <f>363575.3/1000</f>
        <v>363.57529999999997</v>
      </c>
      <c r="BB14" s="235">
        <f t="shared" si="12"/>
        <v>0.4486922127607059</v>
      </c>
      <c r="BC14" s="180">
        <f>746149.87/1000</f>
        <v>746.14987</v>
      </c>
      <c r="BD14" s="235">
        <f>BC14/AZ14</f>
        <v>0.9208316302603974</v>
      </c>
    </row>
    <row r="15" spans="1:56" ht="15.75">
      <c r="A15" s="101"/>
      <c r="B15" s="57"/>
      <c r="C15" s="101"/>
      <c r="D15" s="101"/>
      <c r="E15" s="179"/>
      <c r="F15" s="179"/>
      <c r="G15" s="235"/>
      <c r="H15" s="179"/>
      <c r="I15" s="179"/>
      <c r="J15" s="235"/>
      <c r="K15" s="180"/>
      <c r="L15" s="180"/>
      <c r="M15" s="235"/>
      <c r="N15" s="180"/>
      <c r="O15" s="180"/>
      <c r="P15" s="235"/>
      <c r="Q15" s="236"/>
      <c r="R15" s="236"/>
      <c r="S15" s="235"/>
      <c r="T15" s="236"/>
      <c r="U15" s="236"/>
      <c r="V15" s="235"/>
      <c r="W15" s="236"/>
      <c r="X15" s="236"/>
      <c r="Y15" s="237"/>
      <c r="Z15" s="180"/>
      <c r="AA15" s="180"/>
      <c r="AB15" s="237"/>
      <c r="AC15" s="180"/>
      <c r="AD15" s="180"/>
      <c r="AE15" s="235"/>
      <c r="AF15" s="180"/>
      <c r="AG15" s="180"/>
      <c r="AH15" s="235"/>
      <c r="AI15" s="180"/>
      <c r="AJ15" s="235"/>
      <c r="AK15" s="180"/>
      <c r="AL15" s="180"/>
      <c r="AM15" s="235"/>
      <c r="AN15" s="180"/>
      <c r="AO15" s="235"/>
      <c r="AP15" s="180"/>
      <c r="AQ15" s="180"/>
      <c r="AR15" s="235"/>
      <c r="AS15" s="180"/>
      <c r="AT15" s="235"/>
      <c r="AU15" s="180"/>
      <c r="AV15" s="180"/>
      <c r="AW15" s="235"/>
      <c r="AX15" s="180"/>
      <c r="AY15" s="235"/>
      <c r="AZ15" s="180"/>
      <c r="BA15" s="180"/>
      <c r="BB15" s="235"/>
      <c r="BC15" s="180"/>
      <c r="BD15" s="235"/>
    </row>
    <row r="16" spans="1:56" ht="15.75">
      <c r="A16" s="153" t="s">
        <v>508</v>
      </c>
      <c r="B16" s="226" t="s">
        <v>509</v>
      </c>
      <c r="C16" s="153">
        <v>220</v>
      </c>
      <c r="D16" s="153">
        <v>22000</v>
      </c>
      <c r="E16" s="246" t="e">
        <f>E17+E18+E21+E23+E24</f>
        <v>#REF!</v>
      </c>
      <c r="F16" s="246" t="e">
        <f>F17+F18+F21+F23+F24</f>
        <v>#REF!</v>
      </c>
      <c r="G16" s="228" t="e">
        <f aca="true" t="shared" si="13" ref="G16:G21">+F16/E16</f>
        <v>#REF!</v>
      </c>
      <c r="H16" s="246" t="e">
        <f>H17+H18+H21+H23+H24</f>
        <v>#REF!</v>
      </c>
      <c r="I16" s="246" t="e">
        <f>I17+I18+I21+I23+I24</f>
        <v>#REF!</v>
      </c>
      <c r="J16" s="228" t="e">
        <f>+I16/H16</f>
        <v>#REF!</v>
      </c>
      <c r="K16" s="246" t="e">
        <f>K17+K18+K21+K23+K24</f>
        <v>#REF!</v>
      </c>
      <c r="L16" s="246" t="e">
        <f>L17+L18+L21+L23+L24</f>
        <v>#REF!</v>
      </c>
      <c r="M16" s="228" t="e">
        <f>+L16/K16</f>
        <v>#REF!</v>
      </c>
      <c r="N16" s="246" t="e">
        <f>N17+N18+N21+N23+N24</f>
        <v>#REF!</v>
      </c>
      <c r="O16" s="246" t="e">
        <f>O17+O18+O21+O23+O24</f>
        <v>#REF!</v>
      </c>
      <c r="P16" s="228" t="e">
        <f aca="true" t="shared" si="14" ref="P16:P21">+O16/N16</f>
        <v>#REF!</v>
      </c>
      <c r="Q16" s="246" t="e">
        <f>Q17+Q18+Q21+Q23+Q24</f>
        <v>#REF!</v>
      </c>
      <c r="R16" s="246" t="e">
        <f>R17+R18+R21+R23+R24</f>
        <v>#REF!</v>
      </c>
      <c r="S16" s="228" t="e">
        <f aca="true" t="shared" si="15" ref="S16:S21">+R16/Q16</f>
        <v>#REF!</v>
      </c>
      <c r="T16" s="246" t="e">
        <f>T17+T18+T21+T23+T24</f>
        <v>#REF!</v>
      </c>
      <c r="U16" s="246" t="e">
        <f>U17+U18+U21+U23+U24</f>
        <v>#REF!</v>
      </c>
      <c r="V16" s="228" t="e">
        <f>+U16/T16</f>
        <v>#REF!</v>
      </c>
      <c r="W16" s="246" t="e">
        <f>W17+W18+W21+W23+W24</f>
        <v>#REF!</v>
      </c>
      <c r="X16" s="246" t="e">
        <f>X17+X18+X21+X23+X24</f>
        <v>#REF!</v>
      </c>
      <c r="Y16" s="229" t="e">
        <f>+X16/W16</f>
        <v>#REF!</v>
      </c>
      <c r="Z16" s="246" t="e">
        <f>Z17+Z18+Z21+Z23+Z24</f>
        <v>#REF!</v>
      </c>
      <c r="AA16" s="246" t="e">
        <f>AA17+AA18+AA21+AA23+AA24</f>
        <v>#REF!</v>
      </c>
      <c r="AB16" s="229" t="e">
        <f>+AA16/Z16</f>
        <v>#REF!</v>
      </c>
      <c r="AC16" s="227" t="e">
        <f>AC17+AC18+AC21+AC23+AC24</f>
        <v>#REF!</v>
      </c>
      <c r="AD16" s="227" t="e">
        <f>AD17+AD18+AD21+AD23+AD24</f>
        <v>#REF!</v>
      </c>
      <c r="AE16" s="230" t="e">
        <f>AD16/AC16</f>
        <v>#REF!</v>
      </c>
      <c r="AF16" s="227">
        <f>AF17+AF18+AF21+AF23+AF24+AF25+AF26</f>
        <v>5607.33588</v>
      </c>
      <c r="AG16" s="227">
        <f>AG17+AG18+AG21+AG23+AG24+AG25</f>
        <v>1611.21919</v>
      </c>
      <c r="AH16" s="230">
        <f>AG16/AF16</f>
        <v>0.28734130155228016</v>
      </c>
      <c r="AI16" s="227">
        <f>AI17+AI18+AI21+AI23+AI24+AI25+AI26</f>
        <v>5550.36086</v>
      </c>
      <c r="AJ16" s="230">
        <f>+AI16/AF16</f>
        <v>0.9898391997163545</v>
      </c>
      <c r="AK16" s="227">
        <f>AK17+AK18+AK21+AK23+AK24+AK25+AK26</f>
        <v>3510.42449</v>
      </c>
      <c r="AL16" s="227">
        <f>AL17+AL18+AL21+AL23+AL24+AL25</f>
        <v>1611.21919</v>
      </c>
      <c r="AM16" s="230">
        <f>AL16/AK16</f>
        <v>0.4589812982987707</v>
      </c>
      <c r="AN16" s="227">
        <f>AN17+AN18+AN21+AN23+AN24+AN25+AN26</f>
        <v>3445.3864599999997</v>
      </c>
      <c r="AO16" s="230">
        <f>+AN16/AK16</f>
        <v>0.9814728873430346</v>
      </c>
      <c r="AP16" s="227">
        <f>AP17+AP18+AP21+AP23+AP24+AP25+AP26</f>
        <v>4419.989001000001</v>
      </c>
      <c r="AQ16" s="227">
        <f>AQ17+AQ18+AQ21+AQ23+AQ24+AQ25</f>
        <v>1611.21919</v>
      </c>
      <c r="AR16" s="230">
        <f>AQ16/AP16</f>
        <v>0.3645301356260094</v>
      </c>
      <c r="AS16" s="227">
        <f>AS17+AS18+AS21+AS23+AS24+AS25+AS26</f>
        <v>4167.5497000000005</v>
      </c>
      <c r="AT16" s="230">
        <f>+AS16/AP16</f>
        <v>0.9428868938490826</v>
      </c>
      <c r="AU16" s="227">
        <f>AU17+AU18+AU21+AU23+AU24+AU25+AU26</f>
        <v>7820.44257</v>
      </c>
      <c r="AV16" s="227">
        <f>AV17+AV18+AV21+AV23+AV24+AV25</f>
        <v>1611.21919</v>
      </c>
      <c r="AW16" s="230">
        <f>AV16/AU16</f>
        <v>0.20602659959179268</v>
      </c>
      <c r="AX16" s="227">
        <f>AX17+AX18+AX21+AX23+AX24+AX25+AX26</f>
        <v>7620.000620000001</v>
      </c>
      <c r="AY16" s="230">
        <f>+AX16/AU16</f>
        <v>0.9743694876337415</v>
      </c>
      <c r="AZ16" s="227">
        <f>AZ17+AZ18+AZ21+AZ23+AZ24+AZ25+AZ26</f>
        <v>4610.82746</v>
      </c>
      <c r="BA16" s="227">
        <f>BA17+BA18+BA21+BA23+BA24+BA25</f>
        <v>1611.21919</v>
      </c>
      <c r="BB16" s="230">
        <f>BA16/AZ16</f>
        <v>0.3494425250082986</v>
      </c>
      <c r="BC16" s="227">
        <f>BC17+BC18+BC21+BC23+BC24+BC25+BC26</f>
        <v>4413.310399999999</v>
      </c>
      <c r="BD16" s="230">
        <f>+BC16/AZ16</f>
        <v>0.9571623397939941</v>
      </c>
    </row>
    <row r="17" spans="1:56" ht="15.75">
      <c r="A17" s="101" t="s">
        <v>510</v>
      </c>
      <c r="B17" s="57" t="s">
        <v>511</v>
      </c>
      <c r="C17" s="101">
        <v>221</v>
      </c>
      <c r="D17" s="101">
        <v>22100</v>
      </c>
      <c r="E17" s="234">
        <v>1015.24</v>
      </c>
      <c r="F17" s="234">
        <v>601.87</v>
      </c>
      <c r="G17" s="232">
        <f t="shared" si="13"/>
        <v>0.5928351916788148</v>
      </c>
      <c r="H17" s="234">
        <v>1410.23</v>
      </c>
      <c r="I17" s="234">
        <v>586.01</v>
      </c>
      <c r="J17" s="232">
        <f>+I17/H17</f>
        <v>0.4155421456074541</v>
      </c>
      <c r="K17" s="234">
        <v>680.06</v>
      </c>
      <c r="L17" s="234">
        <v>595.28</v>
      </c>
      <c r="M17" s="232">
        <f>+L17/K17</f>
        <v>0.8753345293062377</v>
      </c>
      <c r="N17" s="234">
        <v>680.29</v>
      </c>
      <c r="O17" s="234">
        <v>650.37</v>
      </c>
      <c r="P17" s="232">
        <f t="shared" si="14"/>
        <v>0.9560187567066987</v>
      </c>
      <c r="Q17" s="234">
        <f>729.02</f>
        <v>729.02</v>
      </c>
      <c r="R17" s="234">
        <v>595.81738</v>
      </c>
      <c r="S17" s="232">
        <f t="shared" si="15"/>
        <v>0.8172853694000164</v>
      </c>
      <c r="T17" s="234">
        <f>(692988.7)/1000</f>
        <v>692.9887</v>
      </c>
      <c r="U17" s="234">
        <f>(653430.68)/1000</f>
        <v>653.43068</v>
      </c>
      <c r="V17" s="232">
        <f>+U17/T17</f>
        <v>0.9429167892636634</v>
      </c>
      <c r="W17" s="234">
        <f>(678316.14)/1000</f>
        <v>678.31614</v>
      </c>
      <c r="X17" s="234">
        <f>(617090.54)/1000</f>
        <v>617.09054</v>
      </c>
      <c r="Y17" s="233">
        <f>+X17/W17</f>
        <v>0.9097388424223549</v>
      </c>
      <c r="Z17" s="234">
        <f>(490689.02+39300+13300+1191+40+390+108+389.4+391+3593.35+7018+54+29100+55000)/1000</f>
        <v>640.56377</v>
      </c>
      <c r="AA17" s="234">
        <f>(489017.25+39300+12610.78+1108.11+31.34+360.04+106.2+389.4+324.83+2543.35+5470.32+46.02+27895.13+42697.17)/1000</f>
        <v>621.8999399999999</v>
      </c>
      <c r="AB17" s="233">
        <f>AA17/Z17</f>
        <v>0.9708634317548117</v>
      </c>
      <c r="AC17" s="234">
        <f>(659141)/1000</f>
        <v>659.141</v>
      </c>
      <c r="AD17" s="180">
        <f>(630939.83)/1000</f>
        <v>630.9398299999999</v>
      </c>
      <c r="AE17" s="235">
        <f>AD17/AC17</f>
        <v>0.957215269570547</v>
      </c>
      <c r="AF17" s="180">
        <v>684.33</v>
      </c>
      <c r="AG17" s="180">
        <f>(306324.85)/1000</f>
        <v>306.32484999999997</v>
      </c>
      <c r="AH17" s="235">
        <f>AG17/AF17</f>
        <v>0.44762738737158964</v>
      </c>
      <c r="AI17" s="180">
        <v>675.376</v>
      </c>
      <c r="AJ17" s="235">
        <f>+AI17/AF17</f>
        <v>0.986915669340815</v>
      </c>
      <c r="AK17" s="180">
        <f>775670.39/1000</f>
        <v>775.67039</v>
      </c>
      <c r="AL17" s="180">
        <f>(306324.85)/1000</f>
        <v>306.32484999999997</v>
      </c>
      <c r="AM17" s="235">
        <f>AL17/AK17</f>
        <v>0.39491626075864517</v>
      </c>
      <c r="AN17" s="180">
        <f>763560.37/1000</f>
        <v>763.56037</v>
      </c>
      <c r="AO17" s="235">
        <f>+AN17/AK17</f>
        <v>0.9843876727072178</v>
      </c>
      <c r="AP17" s="180">
        <f>835755.81/1000</f>
        <v>835.7558100000001</v>
      </c>
      <c r="AQ17" s="180">
        <f>(306324.85)/1000</f>
        <v>306.32484999999997</v>
      </c>
      <c r="AR17" s="235">
        <f>AQ17/AP17</f>
        <v>0.366524343994689</v>
      </c>
      <c r="AS17" s="180">
        <f>800525.26/1000</f>
        <v>800.52526</v>
      </c>
      <c r="AT17" s="235">
        <f>+AS17/AP17</f>
        <v>0.9578458808440709</v>
      </c>
      <c r="AU17" s="180">
        <f>874610.21/1000</f>
        <v>874.6102099999999</v>
      </c>
      <c r="AV17" s="180">
        <f>(306324.85)/1000</f>
        <v>306.32484999999997</v>
      </c>
      <c r="AW17" s="235">
        <f>AV17/AU17</f>
        <v>0.350241566468793</v>
      </c>
      <c r="AX17" s="180">
        <f>846829.95/1000</f>
        <v>846.8299499999999</v>
      </c>
      <c r="AY17" s="235">
        <f>+AX17/AU17</f>
        <v>0.9682369818207359</v>
      </c>
      <c r="AZ17" s="180">
        <f>784084.16/1000</f>
        <v>784.08416</v>
      </c>
      <c r="BA17" s="180">
        <f>(306324.85)/1000</f>
        <v>306.32484999999997</v>
      </c>
      <c r="BB17" s="235">
        <f>BA17/AZ17</f>
        <v>0.39067853379412737</v>
      </c>
      <c r="BC17" s="180">
        <f>749958.64/1000</f>
        <v>749.9586400000001</v>
      </c>
      <c r="BD17" s="235">
        <f>+BC17/AZ17</f>
        <v>0.95647722305728</v>
      </c>
    </row>
    <row r="18" spans="1:56" ht="15.75">
      <c r="A18" s="101" t="s">
        <v>512</v>
      </c>
      <c r="B18" s="57" t="s">
        <v>513</v>
      </c>
      <c r="C18" s="101">
        <v>222</v>
      </c>
      <c r="D18" s="101">
        <v>22200</v>
      </c>
      <c r="E18" s="231">
        <f>SUM(E19:E20)</f>
        <v>31.13</v>
      </c>
      <c r="F18" s="231">
        <f>SUM(F19:F20)</f>
        <v>30.4</v>
      </c>
      <c r="G18" s="232">
        <f t="shared" si="13"/>
        <v>0.9765499518149695</v>
      </c>
      <c r="H18" s="231">
        <f>SUM(H19:H20)</f>
        <v>0</v>
      </c>
      <c r="I18" s="231">
        <f>SUM(I19:I20)</f>
        <v>0</v>
      </c>
      <c r="J18" s="232"/>
      <c r="K18" s="231">
        <f>SUM(K19:K20)</f>
        <v>21.91</v>
      </c>
      <c r="L18" s="231">
        <f>SUM(L19:L20)</f>
        <v>21.91</v>
      </c>
      <c r="M18" s="232">
        <f>+L18/K18</f>
        <v>1</v>
      </c>
      <c r="N18" s="231">
        <f>SUM(N19:N20)</f>
        <v>30.41</v>
      </c>
      <c r="O18" s="231">
        <f>SUM(O19:O20)</f>
        <v>30.41</v>
      </c>
      <c r="P18" s="232">
        <f t="shared" si="14"/>
        <v>1</v>
      </c>
      <c r="Q18" s="231">
        <f>SUM(Q19:Q20)</f>
        <v>39.5</v>
      </c>
      <c r="R18" s="231">
        <f>SUM(R19:R20)</f>
        <v>39.5</v>
      </c>
      <c r="S18" s="232">
        <f t="shared" si="15"/>
        <v>1</v>
      </c>
      <c r="T18" s="231">
        <f>SUM(T19:T20)</f>
        <v>30.5</v>
      </c>
      <c r="U18" s="231">
        <f>SUM(U19:U20)</f>
        <v>30.5</v>
      </c>
      <c r="V18" s="232">
        <f>+U18/T18</f>
        <v>1</v>
      </c>
      <c r="W18" s="231">
        <f>SUM(W19:W20)</f>
        <v>29.233</v>
      </c>
      <c r="X18" s="231">
        <f>SUM(X19:X20)</f>
        <v>29.233</v>
      </c>
      <c r="Y18" s="233">
        <f>+X18/W18</f>
        <v>1</v>
      </c>
      <c r="Z18" s="234">
        <f>Z19+Z20</f>
        <v>43.8495</v>
      </c>
      <c r="AA18" s="234">
        <f>AA19+AA20</f>
        <v>43.8495</v>
      </c>
      <c r="AB18" s="237">
        <f>AA18/Z18</f>
        <v>1</v>
      </c>
      <c r="AC18" s="234">
        <f>AC19+AC20</f>
        <v>37.61906</v>
      </c>
      <c r="AD18" s="234">
        <f>AD19+AD20</f>
        <v>37.61906</v>
      </c>
      <c r="AE18" s="235">
        <f>AD18/AC18</f>
        <v>1</v>
      </c>
      <c r="AF18" s="234">
        <f>AF19+AF20</f>
        <v>16.14406</v>
      </c>
      <c r="AG18" s="234">
        <f>AG19+AG20</f>
        <v>10.844059999999999</v>
      </c>
      <c r="AH18" s="235">
        <f>AG18/AF18</f>
        <v>0.6717058781991643</v>
      </c>
      <c r="AI18" s="234">
        <f>AI19+AI20</f>
        <v>16.14406</v>
      </c>
      <c r="AJ18" s="235">
        <f>+AI18/AF18</f>
        <v>1</v>
      </c>
      <c r="AK18" s="234">
        <f>AK19+AK20</f>
        <v>19.939439999999998</v>
      </c>
      <c r="AL18" s="234">
        <f>AL19+AL20</f>
        <v>10.844059999999999</v>
      </c>
      <c r="AM18" s="235">
        <f>AL18/AK18</f>
        <v>0.5438497771251349</v>
      </c>
      <c r="AN18" s="234">
        <f>AN19+AN20</f>
        <v>19.939439999999998</v>
      </c>
      <c r="AO18" s="235">
        <f>+AN18/AK18</f>
        <v>1</v>
      </c>
      <c r="AP18" s="234">
        <f>AP19+AP20</f>
        <v>1.54</v>
      </c>
      <c r="AQ18" s="234">
        <f>AQ19+AQ20</f>
        <v>10.844059999999999</v>
      </c>
      <c r="AR18" s="235">
        <f>AQ18/AP18</f>
        <v>7.041597402597402</v>
      </c>
      <c r="AS18" s="234">
        <f>AS19+AS20</f>
        <v>1.54</v>
      </c>
      <c r="AT18" s="235">
        <f>+AS18/AP18</f>
        <v>1</v>
      </c>
      <c r="AU18" s="234">
        <f>AU19+AU20</f>
        <v>0</v>
      </c>
      <c r="AV18" s="234">
        <f>AV19+AV20</f>
        <v>10.844059999999999</v>
      </c>
      <c r="AW18" s="235" t="e">
        <f>AV18/AU18</f>
        <v>#DIV/0!</v>
      </c>
      <c r="AX18" s="234">
        <f>AX19+AX20</f>
        <v>0</v>
      </c>
      <c r="AY18" s="235">
        <v>0</v>
      </c>
      <c r="AZ18" s="234">
        <f>AZ19+AZ20</f>
        <v>0</v>
      </c>
      <c r="BA18" s="234">
        <f>BA19+BA20</f>
        <v>10.844059999999999</v>
      </c>
      <c r="BB18" s="235" t="e">
        <f>BA18/AZ18</f>
        <v>#DIV/0!</v>
      </c>
      <c r="BC18" s="234">
        <f>BC19+BC20</f>
        <v>0</v>
      </c>
      <c r="BD18" s="235">
        <v>0</v>
      </c>
    </row>
    <row r="19" spans="1:56" ht="15.75">
      <c r="A19" s="114" t="s">
        <v>514</v>
      </c>
      <c r="B19" s="38" t="s">
        <v>504</v>
      </c>
      <c r="C19" s="114"/>
      <c r="D19" s="114" t="s">
        <v>515</v>
      </c>
      <c r="E19" s="240">
        <v>1</v>
      </c>
      <c r="F19" s="240">
        <v>1</v>
      </c>
      <c r="G19" s="241">
        <f t="shared" si="13"/>
        <v>1</v>
      </c>
      <c r="H19" s="240">
        <v>0</v>
      </c>
      <c r="I19" s="240">
        <v>0</v>
      </c>
      <c r="J19" s="241"/>
      <c r="K19" s="242">
        <v>0</v>
      </c>
      <c r="L19" s="242">
        <v>0</v>
      </c>
      <c r="M19" s="241"/>
      <c r="N19" s="242">
        <v>12</v>
      </c>
      <c r="O19" s="242">
        <v>12</v>
      </c>
      <c r="P19" s="241">
        <f t="shared" si="14"/>
        <v>1</v>
      </c>
      <c r="Q19" s="242">
        <v>1</v>
      </c>
      <c r="R19" s="242">
        <v>1</v>
      </c>
      <c r="S19" s="241">
        <f t="shared" si="15"/>
        <v>1</v>
      </c>
      <c r="T19" s="242">
        <v>0</v>
      </c>
      <c r="U19" s="242">
        <v>0</v>
      </c>
      <c r="V19" s="241"/>
      <c r="W19" s="242">
        <v>0</v>
      </c>
      <c r="X19" s="242">
        <v>0</v>
      </c>
      <c r="Y19" s="243"/>
      <c r="Z19" s="244">
        <v>0</v>
      </c>
      <c r="AA19" s="244">
        <v>0</v>
      </c>
      <c r="AB19" s="247"/>
      <c r="AC19" s="180"/>
      <c r="AD19" s="180"/>
      <c r="AE19" s="235"/>
      <c r="AF19" s="180"/>
      <c r="AG19" s="180"/>
      <c r="AH19" s="235"/>
      <c r="AI19" s="180"/>
      <c r="AJ19" s="235"/>
      <c r="AK19" s="180"/>
      <c r="AL19" s="180"/>
      <c r="AM19" s="235"/>
      <c r="AN19" s="180"/>
      <c r="AO19" s="235"/>
      <c r="AP19" s="180"/>
      <c r="AQ19" s="180"/>
      <c r="AR19" s="235"/>
      <c r="AS19" s="180"/>
      <c r="AT19" s="235"/>
      <c r="AU19" s="180"/>
      <c r="AV19" s="180"/>
      <c r="AW19" s="235"/>
      <c r="AX19" s="180"/>
      <c r="AY19" s="235"/>
      <c r="AZ19" s="180"/>
      <c r="BA19" s="180"/>
      <c r="BB19" s="235"/>
      <c r="BC19" s="180"/>
      <c r="BD19" s="235"/>
    </row>
    <row r="20" spans="1:56" ht="31.5">
      <c r="A20" s="114" t="s">
        <v>516</v>
      </c>
      <c r="B20" s="38" t="s">
        <v>517</v>
      </c>
      <c r="C20" s="114"/>
      <c r="D20" s="114" t="s">
        <v>518</v>
      </c>
      <c r="E20" s="240">
        <v>30.13</v>
      </c>
      <c r="F20" s="240">
        <v>29.4</v>
      </c>
      <c r="G20" s="241">
        <f t="shared" si="13"/>
        <v>0.9757716561566545</v>
      </c>
      <c r="H20" s="240">
        <v>0</v>
      </c>
      <c r="I20" s="240">
        <v>0</v>
      </c>
      <c r="J20" s="241"/>
      <c r="K20" s="242">
        <v>21.91</v>
      </c>
      <c r="L20" s="242">
        <v>21.91</v>
      </c>
      <c r="M20" s="241">
        <f>+L20/K20</f>
        <v>1</v>
      </c>
      <c r="N20" s="242">
        <v>18.41</v>
      </c>
      <c r="O20" s="242">
        <v>18.41</v>
      </c>
      <c r="P20" s="241">
        <f t="shared" si="14"/>
        <v>1</v>
      </c>
      <c r="Q20" s="242">
        <v>38.5</v>
      </c>
      <c r="R20" s="242">
        <v>38.5</v>
      </c>
      <c r="S20" s="241">
        <f t="shared" si="15"/>
        <v>1</v>
      </c>
      <c r="T20" s="242">
        <f>30500/1000</f>
        <v>30.5</v>
      </c>
      <c r="U20" s="242">
        <f>30500/1000</f>
        <v>30.5</v>
      </c>
      <c r="V20" s="241">
        <f>+U20/T20</f>
        <v>1</v>
      </c>
      <c r="W20" s="242">
        <f>29233/1000</f>
        <v>29.233</v>
      </c>
      <c r="X20" s="242">
        <f>29233/1000</f>
        <v>29.233</v>
      </c>
      <c r="Y20" s="243">
        <f>+X20/W20</f>
        <v>1</v>
      </c>
      <c r="Z20" s="244">
        <f>43849.5/1000</f>
        <v>43.8495</v>
      </c>
      <c r="AA20" s="244">
        <f>43849.5/1000</f>
        <v>43.8495</v>
      </c>
      <c r="AB20" s="245">
        <f>AA20/Z20</f>
        <v>1</v>
      </c>
      <c r="AC20" s="180">
        <f>37619.06/1000</f>
        <v>37.61906</v>
      </c>
      <c r="AD20" s="180">
        <f>37619.06/1000</f>
        <v>37.61906</v>
      </c>
      <c r="AE20" s="235">
        <f>AD20/AC20</f>
        <v>1</v>
      </c>
      <c r="AF20" s="180">
        <f>16144.06/1000</f>
        <v>16.14406</v>
      </c>
      <c r="AG20" s="180">
        <f>10844.06/1000</f>
        <v>10.844059999999999</v>
      </c>
      <c r="AH20" s="235">
        <f>AG20/AF20</f>
        <v>0.6717058781991643</v>
      </c>
      <c r="AI20" s="180">
        <f>16144.06/1000</f>
        <v>16.14406</v>
      </c>
      <c r="AJ20" s="235">
        <f>+AI20/AF20</f>
        <v>1</v>
      </c>
      <c r="AK20" s="180">
        <f>19939.44/1000</f>
        <v>19.939439999999998</v>
      </c>
      <c r="AL20" s="180">
        <f>10844.06/1000</f>
        <v>10.844059999999999</v>
      </c>
      <c r="AM20" s="235">
        <f>AL20/AK20</f>
        <v>0.5438497771251349</v>
      </c>
      <c r="AN20" s="180">
        <f>19939.44/1000</f>
        <v>19.939439999999998</v>
      </c>
      <c r="AO20" s="235">
        <f>+AN20/AK20</f>
        <v>1</v>
      </c>
      <c r="AP20" s="180">
        <f>1540/1000</f>
        <v>1.54</v>
      </c>
      <c r="AQ20" s="180">
        <f>10844.06/1000</f>
        <v>10.844059999999999</v>
      </c>
      <c r="AR20" s="235">
        <f>AQ20/AP20</f>
        <v>7.041597402597402</v>
      </c>
      <c r="AS20" s="180">
        <f>1540/1000</f>
        <v>1.54</v>
      </c>
      <c r="AT20" s="235">
        <f>+AS20/AP20</f>
        <v>1</v>
      </c>
      <c r="AU20" s="180">
        <v>0</v>
      </c>
      <c r="AV20" s="180">
        <f>10844.06/1000</f>
        <v>10.844059999999999</v>
      </c>
      <c r="AW20" s="235" t="e">
        <f>AV20/AU20</f>
        <v>#DIV/0!</v>
      </c>
      <c r="AX20" s="180">
        <v>0</v>
      </c>
      <c r="AY20" s="235">
        <v>0</v>
      </c>
      <c r="AZ20" s="180">
        <v>0</v>
      </c>
      <c r="BA20" s="180">
        <f>10844.06/1000</f>
        <v>10.844059999999999</v>
      </c>
      <c r="BB20" s="235" t="e">
        <f>BA20/AZ20</f>
        <v>#DIV/0!</v>
      </c>
      <c r="BC20" s="180">
        <v>0</v>
      </c>
      <c r="BD20" s="235">
        <v>0</v>
      </c>
    </row>
    <row r="21" spans="1:56" ht="15.75">
      <c r="A21" s="101" t="s">
        <v>519</v>
      </c>
      <c r="B21" s="57" t="s">
        <v>520</v>
      </c>
      <c r="C21" s="101">
        <v>223</v>
      </c>
      <c r="D21" s="101">
        <v>22300</v>
      </c>
      <c r="E21" s="231">
        <v>538.5</v>
      </c>
      <c r="F21" s="231">
        <v>528.38</v>
      </c>
      <c r="G21" s="232">
        <f t="shared" si="13"/>
        <v>0.9812070566388115</v>
      </c>
      <c r="H21" s="231">
        <v>573.17</v>
      </c>
      <c r="I21" s="231">
        <v>541.38</v>
      </c>
      <c r="J21" s="232">
        <f>+I21/H21</f>
        <v>0.9445365249402446</v>
      </c>
      <c r="K21" s="234">
        <v>587.7</v>
      </c>
      <c r="L21" s="234">
        <v>572.02</v>
      </c>
      <c r="M21" s="232">
        <f>+L21/K21</f>
        <v>0.9733197209460608</v>
      </c>
      <c r="N21" s="234">
        <v>632.05</v>
      </c>
      <c r="O21" s="234">
        <v>565.8</v>
      </c>
      <c r="P21" s="232">
        <f t="shared" si="14"/>
        <v>0.8951823431690531</v>
      </c>
      <c r="Q21" s="234">
        <v>709.2</v>
      </c>
      <c r="R21" s="234">
        <v>545.6</v>
      </c>
      <c r="S21" s="232">
        <f t="shared" si="15"/>
        <v>0.7693175408911449</v>
      </c>
      <c r="T21" s="234">
        <f>758682.08/1000</f>
        <v>758.6820799999999</v>
      </c>
      <c r="U21" s="234">
        <f>540246.56/1000</f>
        <v>540.24656</v>
      </c>
      <c r="V21" s="232">
        <f>+U21/T21</f>
        <v>0.7120855681736942</v>
      </c>
      <c r="W21" s="234">
        <f>824334.09/1000</f>
        <v>824.33409</v>
      </c>
      <c r="X21" s="234">
        <f>804951.32/1000</f>
        <v>804.9513199999999</v>
      </c>
      <c r="Y21" s="233">
        <f>+X21/W21</f>
        <v>0.9764867542964285</v>
      </c>
      <c r="Z21" s="234">
        <f>751656.05/1000</f>
        <v>751.65605</v>
      </c>
      <c r="AA21" s="234">
        <f>747899.6/1000</f>
        <v>747.8996</v>
      </c>
      <c r="AB21" s="233">
        <f>AA21/Z21</f>
        <v>0.9950024349567863</v>
      </c>
      <c r="AC21" s="234">
        <f>(862450.97)/1000</f>
        <v>862.45097</v>
      </c>
      <c r="AD21" s="234">
        <f>(776720.69)/1000</f>
        <v>776.72069</v>
      </c>
      <c r="AE21" s="235">
        <f>AD21/AC21</f>
        <v>0.900596923208284</v>
      </c>
      <c r="AF21" s="234">
        <f>(905535.6)/1000</f>
        <v>905.5355999999999</v>
      </c>
      <c r="AG21" s="234">
        <f>(419071.63)/1000</f>
        <v>419.07163</v>
      </c>
      <c r="AH21" s="235">
        <f>AG21/AF21</f>
        <v>0.4627886855028119</v>
      </c>
      <c r="AI21" s="234">
        <f>886916.7/1000</f>
        <v>886.9167</v>
      </c>
      <c r="AJ21" s="235">
        <f>+AI21/AF21</f>
        <v>0.9794387984304538</v>
      </c>
      <c r="AK21" s="234">
        <f>847430.51/1000</f>
        <v>847.43051</v>
      </c>
      <c r="AL21" s="234">
        <f>(419071.63)/1000</f>
        <v>419.07163</v>
      </c>
      <c r="AM21" s="235">
        <f>AL21/AK21</f>
        <v>0.49452034716097254</v>
      </c>
      <c r="AN21" s="234">
        <f>814596.92/1000</f>
        <v>814.5969200000001</v>
      </c>
      <c r="AO21" s="235">
        <f>+AN21/AK21</f>
        <v>0.9612551240337099</v>
      </c>
      <c r="AP21" s="234">
        <f>919950.691/1000</f>
        <v>919.950691</v>
      </c>
      <c r="AQ21" s="234">
        <f>(419071.63)/1000</f>
        <v>419.07163</v>
      </c>
      <c r="AR21" s="235">
        <f>AQ21/AP21</f>
        <v>0.45553705660513494</v>
      </c>
      <c r="AS21" s="234">
        <f>742692.52/1000</f>
        <v>742.6925200000001</v>
      </c>
      <c r="AT21" s="235">
        <f>+AS21/AP21</f>
        <v>0.807317747859597</v>
      </c>
      <c r="AU21" s="234">
        <f>1039163.38/1000</f>
        <v>1039.16338</v>
      </c>
      <c r="AV21" s="234">
        <f>(419071.63)/1000</f>
        <v>419.07163</v>
      </c>
      <c r="AW21" s="235">
        <f>AV21/AU21</f>
        <v>0.40327790419250537</v>
      </c>
      <c r="AX21" s="234">
        <f>969973.47/1000</f>
        <v>969.97347</v>
      </c>
      <c r="AY21" s="235">
        <f>+AX21/AU21</f>
        <v>0.9334176787484564</v>
      </c>
      <c r="AZ21" s="234">
        <f>1205658.35/1000</f>
        <v>1205.6583500000002</v>
      </c>
      <c r="BA21" s="234">
        <f>(419071.63)/1000</f>
        <v>419.07163</v>
      </c>
      <c r="BB21" s="235">
        <f>BA21/AZ21</f>
        <v>0.3475873824454498</v>
      </c>
      <c r="BC21" s="234">
        <f>1075205.58/1000</f>
        <v>1075.20558</v>
      </c>
      <c r="BD21" s="235">
        <f>+BC21/AZ21</f>
        <v>0.8917995549900185</v>
      </c>
    </row>
    <row r="22" spans="1:56" ht="31.5">
      <c r="A22" s="101" t="s">
        <v>521</v>
      </c>
      <c r="B22" s="57" t="s">
        <v>522</v>
      </c>
      <c r="C22" s="101">
        <v>224</v>
      </c>
      <c r="D22" s="101">
        <v>22400</v>
      </c>
      <c r="E22" s="231">
        <v>0</v>
      </c>
      <c r="F22" s="231">
        <v>0</v>
      </c>
      <c r="G22" s="232"/>
      <c r="H22" s="231">
        <v>0</v>
      </c>
      <c r="I22" s="231">
        <v>0</v>
      </c>
      <c r="J22" s="232"/>
      <c r="K22" s="234">
        <v>0</v>
      </c>
      <c r="L22" s="234">
        <v>0</v>
      </c>
      <c r="M22" s="232"/>
      <c r="N22" s="234">
        <v>0</v>
      </c>
      <c r="O22" s="234">
        <v>0</v>
      </c>
      <c r="P22" s="232"/>
      <c r="Q22" s="234"/>
      <c r="R22" s="234"/>
      <c r="S22" s="232"/>
      <c r="T22" s="234"/>
      <c r="U22" s="234"/>
      <c r="V22" s="232"/>
      <c r="W22" s="234"/>
      <c r="X22" s="234"/>
      <c r="Y22" s="233"/>
      <c r="Z22" s="180"/>
      <c r="AA22" s="180"/>
      <c r="AB22" s="238"/>
      <c r="AC22" s="180"/>
      <c r="AD22" s="180"/>
      <c r="AE22" s="235"/>
      <c r="AF22" s="180"/>
      <c r="AG22" s="180"/>
      <c r="AH22" s="235"/>
      <c r="AI22" s="180"/>
      <c r="AJ22" s="235"/>
      <c r="AK22" s="180"/>
      <c r="AL22" s="180"/>
      <c r="AM22" s="235"/>
      <c r="AN22" s="180"/>
      <c r="AO22" s="235"/>
      <c r="AP22" s="180"/>
      <c r="AQ22" s="180"/>
      <c r="AR22" s="235"/>
      <c r="AS22" s="180"/>
      <c r="AT22" s="235"/>
      <c r="AU22" s="180"/>
      <c r="AV22" s="180"/>
      <c r="AW22" s="235"/>
      <c r="AX22" s="180"/>
      <c r="AY22" s="235"/>
      <c r="AZ22" s="180"/>
      <c r="BA22" s="180"/>
      <c r="BB22" s="235"/>
      <c r="BC22" s="180"/>
      <c r="BD22" s="235"/>
    </row>
    <row r="23" spans="1:56" ht="31.5" customHeight="1">
      <c r="A23" s="101" t="s">
        <v>523</v>
      </c>
      <c r="B23" s="57" t="s">
        <v>524</v>
      </c>
      <c r="C23" s="101">
        <v>225</v>
      </c>
      <c r="D23" s="101">
        <v>22500</v>
      </c>
      <c r="E23" s="231" t="e">
        <f>SUM(#REF!)</f>
        <v>#REF!</v>
      </c>
      <c r="F23" s="231" t="e">
        <f>SUM(#REF!)</f>
        <v>#REF!</v>
      </c>
      <c r="G23" s="232" t="e">
        <f>+F23/E23</f>
        <v>#REF!</v>
      </c>
      <c r="H23" s="231" t="e">
        <f>SUM(#REF!)</f>
        <v>#REF!</v>
      </c>
      <c r="I23" s="231" t="e">
        <f>SUM(#REF!)</f>
        <v>#REF!</v>
      </c>
      <c r="J23" s="232" t="e">
        <f>+I23/H23</f>
        <v>#REF!</v>
      </c>
      <c r="K23" s="231" t="e">
        <f>SUM(#REF!)</f>
        <v>#REF!</v>
      </c>
      <c r="L23" s="231" t="e">
        <f>SUM(#REF!)</f>
        <v>#REF!</v>
      </c>
      <c r="M23" s="232" t="e">
        <f>+L23/K23</f>
        <v>#REF!</v>
      </c>
      <c r="N23" s="231" t="e">
        <f>SUM(#REF!)</f>
        <v>#REF!</v>
      </c>
      <c r="O23" s="231" t="e">
        <f>SUM(#REF!)</f>
        <v>#REF!</v>
      </c>
      <c r="P23" s="232" t="e">
        <f>+O23/N23</f>
        <v>#REF!</v>
      </c>
      <c r="Q23" s="231" t="e">
        <f>SUM(#REF!)</f>
        <v>#REF!</v>
      </c>
      <c r="R23" s="231" t="e">
        <f>SUM(#REF!)</f>
        <v>#REF!</v>
      </c>
      <c r="S23" s="232" t="e">
        <f>+R23/Q23</f>
        <v>#REF!</v>
      </c>
      <c r="T23" s="231" t="e">
        <f>SUM(#REF!)</f>
        <v>#REF!</v>
      </c>
      <c r="U23" s="231" t="e">
        <f>SUM(#REF!)</f>
        <v>#REF!</v>
      </c>
      <c r="V23" s="232" t="e">
        <f>+U23/T23</f>
        <v>#REF!</v>
      </c>
      <c r="W23" s="231" t="e">
        <f>SUM(#REF!)</f>
        <v>#REF!</v>
      </c>
      <c r="X23" s="231" t="e">
        <f>SUM(#REF!)</f>
        <v>#REF!</v>
      </c>
      <c r="Y23" s="233" t="e">
        <f>+X23/W23</f>
        <v>#REF!</v>
      </c>
      <c r="Z23" s="234" t="e">
        <f>SUM(#REF!)</f>
        <v>#REF!</v>
      </c>
      <c r="AA23" s="234" t="e">
        <f>SUM(#REF!)</f>
        <v>#REF!</v>
      </c>
      <c r="AB23" s="233" t="e">
        <f>AA23/Z23</f>
        <v>#REF!</v>
      </c>
      <c r="AC23" s="234" t="e">
        <f>SUM(#REF!)</f>
        <v>#REF!</v>
      </c>
      <c r="AD23" s="234" t="e">
        <f>SUM(#REF!)</f>
        <v>#REF!</v>
      </c>
      <c r="AE23" s="235" t="e">
        <f>AD23/AC23</f>
        <v>#REF!</v>
      </c>
      <c r="AF23" s="234">
        <v>2257.201</v>
      </c>
      <c r="AG23" s="234">
        <f>413304.57/1000</f>
        <v>413.30457</v>
      </c>
      <c r="AH23" s="235">
        <f>AG23/AF23</f>
        <v>0.18310490293066503</v>
      </c>
      <c r="AI23" s="234">
        <f>2256470.1/1000</f>
        <v>2256.4701</v>
      </c>
      <c r="AJ23" s="235">
        <f>+AI23/AF23</f>
        <v>0.9996761918854369</v>
      </c>
      <c r="AK23" s="234">
        <f>819103.51/1000</f>
        <v>819.10351</v>
      </c>
      <c r="AL23" s="234">
        <f>413304.57/1000</f>
        <v>413.30457</v>
      </c>
      <c r="AM23" s="235">
        <f>AL23/AK23</f>
        <v>0.5045816126462455</v>
      </c>
      <c r="AN23" s="234">
        <f>819097.47/1000</f>
        <v>819.0974699999999</v>
      </c>
      <c r="AO23" s="235">
        <f>+AN23/AK23</f>
        <v>0.9999926260845835</v>
      </c>
      <c r="AP23" s="234">
        <f>876272.18/1000</f>
        <v>876.27218</v>
      </c>
      <c r="AQ23" s="234">
        <f>413304.57/1000</f>
        <v>413.30457</v>
      </c>
      <c r="AR23" s="235">
        <f>AQ23/AP23</f>
        <v>0.4716623207186607</v>
      </c>
      <c r="AS23" s="234">
        <f>875743.48/1000</f>
        <v>875.74348</v>
      </c>
      <c r="AT23" s="235">
        <f>+AS23/AP23</f>
        <v>0.9993966486531616</v>
      </c>
      <c r="AU23" s="234">
        <f>4709616.5/1000</f>
        <v>4709.6165</v>
      </c>
      <c r="AV23" s="234">
        <f>413304.57/1000</f>
        <v>413.30457</v>
      </c>
      <c r="AW23" s="235">
        <f>AV23/AU23</f>
        <v>0.08775758493287086</v>
      </c>
      <c r="AX23" s="234">
        <f>4691609.86/1000</f>
        <v>4691.6098600000005</v>
      </c>
      <c r="AY23" s="235">
        <f>+AX23/AU23</f>
        <v>0.996176622873646</v>
      </c>
      <c r="AZ23" s="234">
        <f>1430527.5/1000</f>
        <v>1430.5275</v>
      </c>
      <c r="BA23" s="234">
        <f>413304.57/1000</f>
        <v>413.30457</v>
      </c>
      <c r="BB23" s="235">
        <f>BA23/AZ23</f>
        <v>0.2889175985781469</v>
      </c>
      <c r="BC23" s="234">
        <f>1430432.38/1000</f>
        <v>1430.43238</v>
      </c>
      <c r="BD23" s="235">
        <f>+BC23/AZ23</f>
        <v>0.999933507045478</v>
      </c>
    </row>
    <row r="24" spans="1:56" ht="15.75">
      <c r="A24" s="101" t="s">
        <v>525</v>
      </c>
      <c r="B24" s="57" t="s">
        <v>526</v>
      </c>
      <c r="C24" s="101">
        <v>226</v>
      </c>
      <c r="D24" s="101">
        <v>22600</v>
      </c>
      <c r="E24" s="231" t="e">
        <f>SUM(#REF!)</f>
        <v>#REF!</v>
      </c>
      <c r="F24" s="231" t="e">
        <f>SUM(#REF!)</f>
        <v>#REF!</v>
      </c>
      <c r="G24" s="232" t="e">
        <f>+F24/E24</f>
        <v>#REF!</v>
      </c>
      <c r="H24" s="231" t="e">
        <f>SUM(#REF!)</f>
        <v>#REF!</v>
      </c>
      <c r="I24" s="231" t="e">
        <f>SUM(#REF!)</f>
        <v>#REF!</v>
      </c>
      <c r="J24" s="232" t="e">
        <f>+I24/H24</f>
        <v>#REF!</v>
      </c>
      <c r="K24" s="231" t="e">
        <f>SUM(#REF!)</f>
        <v>#REF!</v>
      </c>
      <c r="L24" s="231" t="e">
        <f>SUM(#REF!)</f>
        <v>#REF!</v>
      </c>
      <c r="M24" s="232" t="e">
        <f>+L24/K24</f>
        <v>#REF!</v>
      </c>
      <c r="N24" s="231" t="e">
        <f>SUM(#REF!)</f>
        <v>#REF!</v>
      </c>
      <c r="O24" s="231" t="e">
        <f>SUM(#REF!)</f>
        <v>#REF!</v>
      </c>
      <c r="P24" s="232" t="e">
        <f>+O24/N24</f>
        <v>#REF!</v>
      </c>
      <c r="Q24" s="231" t="e">
        <f>SUM(#REF!)</f>
        <v>#REF!</v>
      </c>
      <c r="R24" s="231" t="e">
        <f>SUM(#REF!)</f>
        <v>#REF!</v>
      </c>
      <c r="S24" s="232" t="e">
        <f>+R24/Q24</f>
        <v>#REF!</v>
      </c>
      <c r="T24" s="231" t="e">
        <f>SUM(#REF!)</f>
        <v>#REF!</v>
      </c>
      <c r="U24" s="231" t="e">
        <f>SUM(#REF!)</f>
        <v>#REF!</v>
      </c>
      <c r="V24" s="232" t="e">
        <f>+U24/T24</f>
        <v>#REF!</v>
      </c>
      <c r="W24" s="231" t="e">
        <f>SUM(#REF!)</f>
        <v>#REF!</v>
      </c>
      <c r="X24" s="231" t="e">
        <f>SUM(#REF!)</f>
        <v>#REF!</v>
      </c>
      <c r="Y24" s="233" t="e">
        <f>+X24/W24</f>
        <v>#REF!</v>
      </c>
      <c r="Z24" s="234" t="e">
        <f>SUM(#REF!)</f>
        <v>#REF!</v>
      </c>
      <c r="AA24" s="234" t="e">
        <f>SUM(#REF!)</f>
        <v>#REF!</v>
      </c>
      <c r="AB24" s="233" t="e">
        <f>AA24/Z24</f>
        <v>#REF!</v>
      </c>
      <c r="AC24" s="234" t="e">
        <f>SUM(#REF!)</f>
        <v>#REF!</v>
      </c>
      <c r="AD24" s="234" t="e">
        <f>SUM(#REF!)</f>
        <v>#REF!</v>
      </c>
      <c r="AE24" s="235" t="e">
        <f>AD24/AC24</f>
        <v>#REF!</v>
      </c>
      <c r="AF24" s="234">
        <f>1735625.22/1000</f>
        <v>1735.62522</v>
      </c>
      <c r="AG24" s="234">
        <f>461674.08/1000</f>
        <v>461.67408</v>
      </c>
      <c r="AH24" s="235">
        <f>AG24/AF24</f>
        <v>0.2659987160131264</v>
      </c>
      <c r="AI24" s="234">
        <v>1706.954</v>
      </c>
      <c r="AJ24" s="235">
        <f>+AI24/AF24</f>
        <v>0.9834807539844346</v>
      </c>
      <c r="AK24" s="234">
        <f>1043746.45/1000</f>
        <v>1043.7464499999999</v>
      </c>
      <c r="AL24" s="234">
        <f>461674.08/1000</f>
        <v>461.67408</v>
      </c>
      <c r="AM24" s="235">
        <f>AL24/AK24</f>
        <v>0.44232397628753617</v>
      </c>
      <c r="AN24" s="234">
        <f>1023658.07/1000</f>
        <v>1023.65807</v>
      </c>
      <c r="AO24" s="235">
        <f>+AN24/AK24</f>
        <v>0.9807535824433224</v>
      </c>
      <c r="AP24" s="234">
        <f>1782567.5/1000</f>
        <v>1782.5675</v>
      </c>
      <c r="AQ24" s="234">
        <f>461674.08/1000</f>
        <v>461.67408</v>
      </c>
      <c r="AR24" s="235">
        <f>AQ24/AP24</f>
        <v>0.2589938838220712</v>
      </c>
      <c r="AS24" s="234">
        <f>1743145.62/1000</f>
        <v>1743.14562</v>
      </c>
      <c r="AT24" s="235">
        <f>+AS24/AP24</f>
        <v>0.9778847757518299</v>
      </c>
      <c r="AU24" s="234">
        <f>1172017.06/1000</f>
        <v>1172.0170600000001</v>
      </c>
      <c r="AV24" s="234">
        <f>461674.08/1000</f>
        <v>461.67408</v>
      </c>
      <c r="AW24" s="235">
        <f>AV24/AU24</f>
        <v>0.39391412954347266</v>
      </c>
      <c r="AX24" s="234">
        <f>1086551.92/1000</f>
        <v>1086.5519199999999</v>
      </c>
      <c r="AY24" s="235">
        <f>+AX24/AU24</f>
        <v>0.927078587064253</v>
      </c>
      <c r="AZ24" s="234">
        <f>875292.59/1000</f>
        <v>875.29259</v>
      </c>
      <c r="BA24" s="234">
        <f>461674.08/1000</f>
        <v>461.67408</v>
      </c>
      <c r="BB24" s="235">
        <f>BA24/AZ24</f>
        <v>0.5274511463646687</v>
      </c>
      <c r="BC24" s="234">
        <f>853169.54/1000</f>
        <v>853.16954</v>
      </c>
      <c r="BD24" s="235">
        <f>+BC24/AZ24</f>
        <v>0.974724965968237</v>
      </c>
    </row>
    <row r="25" spans="1:56" ht="15.75">
      <c r="A25" s="101" t="s">
        <v>651</v>
      </c>
      <c r="B25" s="57" t="s">
        <v>527</v>
      </c>
      <c r="C25" s="101">
        <v>227</v>
      </c>
      <c r="D25" s="114"/>
      <c r="E25" s="179"/>
      <c r="F25" s="179"/>
      <c r="G25" s="235"/>
      <c r="H25" s="179"/>
      <c r="I25" s="179"/>
      <c r="J25" s="235"/>
      <c r="K25" s="180"/>
      <c r="L25" s="180"/>
      <c r="M25" s="235"/>
      <c r="N25" s="180"/>
      <c r="O25" s="180"/>
      <c r="P25" s="235"/>
      <c r="Q25" s="180"/>
      <c r="R25" s="180"/>
      <c r="S25" s="235"/>
      <c r="T25" s="180"/>
      <c r="U25" s="180"/>
      <c r="V25" s="235"/>
      <c r="W25" s="180"/>
      <c r="X25" s="180"/>
      <c r="Y25" s="237"/>
      <c r="Z25" s="180"/>
      <c r="AA25" s="180"/>
      <c r="AB25" s="237"/>
      <c r="AC25" s="180"/>
      <c r="AD25" s="180"/>
      <c r="AE25" s="235"/>
      <c r="AF25" s="180">
        <v>4.8</v>
      </c>
      <c r="AG25" s="180">
        <v>0</v>
      </c>
      <c r="AH25" s="235">
        <f>AG25/AF25</f>
        <v>0</v>
      </c>
      <c r="AI25" s="180">
        <v>4.8</v>
      </c>
      <c r="AJ25" s="235">
        <f>+AI25/AF25</f>
        <v>1</v>
      </c>
      <c r="AK25" s="180">
        <f>4534.19/1000</f>
        <v>4.53419</v>
      </c>
      <c r="AL25" s="180">
        <v>0</v>
      </c>
      <c r="AM25" s="235">
        <f>AL25/AK25</f>
        <v>0</v>
      </c>
      <c r="AN25" s="180">
        <f>4534.19/1000</f>
        <v>4.53419</v>
      </c>
      <c r="AO25" s="235">
        <f>+AN25/AK25</f>
        <v>1</v>
      </c>
      <c r="AP25" s="180">
        <f>3902.82/1000</f>
        <v>3.90282</v>
      </c>
      <c r="AQ25" s="180">
        <v>0</v>
      </c>
      <c r="AR25" s="235">
        <f>AQ25/AP25</f>
        <v>0</v>
      </c>
      <c r="AS25" s="180">
        <f>3902.82/1000</f>
        <v>3.90282</v>
      </c>
      <c r="AT25" s="235">
        <f>+AS25/AP25</f>
        <v>1</v>
      </c>
      <c r="AU25" s="180">
        <f>9712.96/1000</f>
        <v>9.712959999999999</v>
      </c>
      <c r="AV25" s="180">
        <v>0</v>
      </c>
      <c r="AW25" s="235">
        <f>AV25/AU25</f>
        <v>0</v>
      </c>
      <c r="AX25" s="180">
        <f>9712.96/1000</f>
        <v>9.712959999999999</v>
      </c>
      <c r="AY25" s="235">
        <f>+AX25/AU25</f>
        <v>1</v>
      </c>
      <c r="AZ25" s="180">
        <f>9214.86/1000</f>
        <v>9.21486</v>
      </c>
      <c r="BA25" s="180">
        <v>0</v>
      </c>
      <c r="BB25" s="235">
        <f>BA25/AZ25</f>
        <v>0</v>
      </c>
      <c r="BC25" s="180">
        <f>9214.86/1000</f>
        <v>9.21486</v>
      </c>
      <c r="BD25" s="235">
        <f>+BC25/AZ25</f>
        <v>1</v>
      </c>
    </row>
    <row r="26" spans="1:56" ht="31.5">
      <c r="A26" s="101" t="s">
        <v>652</v>
      </c>
      <c r="B26" s="408" t="s">
        <v>650</v>
      </c>
      <c r="C26" s="101">
        <v>228</v>
      </c>
      <c r="D26" s="114"/>
      <c r="E26" s="179"/>
      <c r="F26" s="179"/>
      <c r="G26" s="235"/>
      <c r="H26" s="179"/>
      <c r="I26" s="179"/>
      <c r="J26" s="235"/>
      <c r="K26" s="180"/>
      <c r="L26" s="180"/>
      <c r="M26" s="235"/>
      <c r="N26" s="180"/>
      <c r="O26" s="180"/>
      <c r="P26" s="235"/>
      <c r="Q26" s="180"/>
      <c r="R26" s="180"/>
      <c r="S26" s="235"/>
      <c r="T26" s="180"/>
      <c r="U26" s="180"/>
      <c r="V26" s="235"/>
      <c r="W26" s="180"/>
      <c r="X26" s="180"/>
      <c r="Y26" s="237"/>
      <c r="Z26" s="180"/>
      <c r="AA26" s="180"/>
      <c r="AB26" s="237"/>
      <c r="AC26" s="180"/>
      <c r="AD26" s="180"/>
      <c r="AE26" s="235"/>
      <c r="AF26" s="180">
        <v>3.7</v>
      </c>
      <c r="AG26" s="180"/>
      <c r="AH26" s="235"/>
      <c r="AI26" s="180">
        <v>3.7</v>
      </c>
      <c r="AJ26" s="235">
        <f>+AI26/AF26</f>
        <v>1</v>
      </c>
      <c r="AK26" s="180"/>
      <c r="AL26" s="180"/>
      <c r="AM26" s="235"/>
      <c r="AN26" s="180"/>
      <c r="AO26" s="235"/>
      <c r="AP26" s="180"/>
      <c r="AQ26" s="180"/>
      <c r="AR26" s="235"/>
      <c r="AS26" s="180"/>
      <c r="AT26" s="235"/>
      <c r="AU26" s="180">
        <f>15322.46/1000</f>
        <v>15.32246</v>
      </c>
      <c r="AV26" s="180"/>
      <c r="AW26" s="235"/>
      <c r="AX26" s="180">
        <f>15322.46/1000</f>
        <v>15.32246</v>
      </c>
      <c r="AY26" s="235">
        <f>+AX26/AU26</f>
        <v>1</v>
      </c>
      <c r="AZ26" s="180">
        <f>306050/1000</f>
        <v>306.05</v>
      </c>
      <c r="BA26" s="180"/>
      <c r="BB26" s="235"/>
      <c r="BC26" s="180">
        <f>295329.4/1000</f>
        <v>295.3294</v>
      </c>
      <c r="BD26" s="235">
        <f>+BC26/AZ26</f>
        <v>0.964971083156347</v>
      </c>
    </row>
    <row r="27" spans="1:56" ht="31.5">
      <c r="A27" s="153" t="s">
        <v>528</v>
      </c>
      <c r="B27" s="226" t="s">
        <v>529</v>
      </c>
      <c r="C27" s="153">
        <v>260</v>
      </c>
      <c r="D27" s="153">
        <v>26000</v>
      </c>
      <c r="E27" s="246">
        <f>SUM(E28:E30)</f>
        <v>289119.58</v>
      </c>
      <c r="F27" s="246">
        <f>SUM(F28:F30)</f>
        <v>275608</v>
      </c>
      <c r="G27" s="228">
        <f>+F27/E27</f>
        <v>0.9532664650384453</v>
      </c>
      <c r="H27" s="246">
        <f>SUM(H28:H30)</f>
        <v>299571.29</v>
      </c>
      <c r="I27" s="246">
        <f>SUM(I28:I30)</f>
        <v>286439.63</v>
      </c>
      <c r="J27" s="228">
        <f>+I27/H27</f>
        <v>0.9561651585504072</v>
      </c>
      <c r="K27" s="246">
        <f>SUM(K28:K30)</f>
        <v>325759.92</v>
      </c>
      <c r="L27" s="246">
        <f>SUM(L28:L30)</f>
        <v>290827.76</v>
      </c>
      <c r="M27" s="228">
        <f>+L27/K27</f>
        <v>0.8927671642355512</v>
      </c>
      <c r="N27" s="246">
        <f>SUM(N28:N30)</f>
        <v>314803.82</v>
      </c>
      <c r="O27" s="246">
        <f>SUM(O28:O30)</f>
        <v>281583.00999999995</v>
      </c>
      <c r="P27" s="228">
        <f>+O27/N27</f>
        <v>0.8944713885619302</v>
      </c>
      <c r="Q27" s="246">
        <f>SUM(Q28:Q30)</f>
        <v>318451.42000000004</v>
      </c>
      <c r="R27" s="246">
        <f>SUM(R28:R30)</f>
        <v>312381.28</v>
      </c>
      <c r="S27" s="228">
        <f>+R27/Q27</f>
        <v>0.9809385682751862</v>
      </c>
      <c r="T27" s="246">
        <f>SUM(T28:T30)</f>
        <v>363221.58726</v>
      </c>
      <c r="U27" s="246">
        <f>SUM(U28:U30)</f>
        <v>355007.16735</v>
      </c>
      <c r="V27" s="228">
        <f>+U27/T27</f>
        <v>0.9773845492720674</v>
      </c>
      <c r="W27" s="246">
        <f>SUM(W28:W30)</f>
        <v>435796.11950000003</v>
      </c>
      <c r="X27" s="246">
        <f>SUM(X28:X30)</f>
        <v>426955.17208</v>
      </c>
      <c r="Y27" s="229">
        <f>+X27/W27</f>
        <v>0.9797131111902889</v>
      </c>
      <c r="Z27" s="227">
        <f>Z29+Z30</f>
        <v>450514.549</v>
      </c>
      <c r="AA27" s="227">
        <f>AA29+AA30</f>
        <v>441221.11185999995</v>
      </c>
      <c r="AB27" s="229">
        <f>AA27/Z27</f>
        <v>0.9793715049588775</v>
      </c>
      <c r="AC27" s="227">
        <f>AC28+AC29+AC30</f>
        <v>469722.09552</v>
      </c>
      <c r="AD27" s="227">
        <f>AD28+AD29+AD30</f>
        <v>453940.74927</v>
      </c>
      <c r="AE27" s="230">
        <f>AD27/AC27</f>
        <v>0.9664028019960835</v>
      </c>
      <c r="AF27" s="227">
        <f>AF28+AF29+AF30+AF32</f>
        <v>498506.90024000005</v>
      </c>
      <c r="AG27" s="227">
        <f>AG28+AG29+AG30+AG32</f>
        <v>246846.02094000002</v>
      </c>
      <c r="AH27" s="230">
        <f>AG27/AF27</f>
        <v>0.49517072044771904</v>
      </c>
      <c r="AI27" s="227">
        <f>AI28+AI29+AI30+AI32</f>
        <v>493532.95653</v>
      </c>
      <c r="AJ27" s="230">
        <f>+AI27/AF27</f>
        <v>0.990022317228497</v>
      </c>
      <c r="AK27" s="227">
        <f>AK28+AK29+AK30+AK32</f>
        <v>650526.6616700001</v>
      </c>
      <c r="AL27" s="227">
        <f>AL28+AL29+AL30+AL32</f>
        <v>246846.02094000002</v>
      </c>
      <c r="AM27" s="230">
        <f>AL27/AK27</f>
        <v>0.3794556556779841</v>
      </c>
      <c r="AN27" s="227">
        <f>AN28+AN29+AN30+AN32</f>
        <v>638062.1039599999</v>
      </c>
      <c r="AO27" s="230">
        <f>+AN27/AK27</f>
        <v>0.9808392823162669</v>
      </c>
      <c r="AP27" s="227">
        <f>AP28+AP29+AP30+AP32</f>
        <v>735503.5595600001</v>
      </c>
      <c r="AQ27" s="227">
        <f>AQ28+AQ29+AQ30+AQ32</f>
        <v>246846.02094000002</v>
      </c>
      <c r="AR27" s="230">
        <f>AQ27/AP27</f>
        <v>0.33561499156804975</v>
      </c>
      <c r="AS27" s="227">
        <f>AS28+AS29+AS30+AS32</f>
        <v>723084.2613299999</v>
      </c>
      <c r="AT27" s="230">
        <f>+AS27/AP27</f>
        <v>0.9831145640716821</v>
      </c>
      <c r="AU27" s="227">
        <f>AU28+AU29+AU30+AU31+AU32</f>
        <v>794000.11701</v>
      </c>
      <c r="AV27" s="227">
        <f>AV28+AV29+AV30+AV31+AV32</f>
        <v>246846.02094000002</v>
      </c>
      <c r="AW27" s="227">
        <f>AW28+AW29+AW30+AW31+AW32</f>
        <v>1.674706155440051</v>
      </c>
      <c r="AX27" s="227">
        <f>AX28+AX29+AX30+AX31+AX32</f>
        <v>784045.3523599999</v>
      </c>
      <c r="AY27" s="230">
        <f>+AX27/AU27</f>
        <v>0.9874625148828854</v>
      </c>
      <c r="AZ27" s="227">
        <f>AZ28+AZ29+AZ30+AZ31+AZ32</f>
        <v>668143.5592199999</v>
      </c>
      <c r="BA27" s="227">
        <f>BA28+BA29+BA30+BA31+BA32</f>
        <v>246846.02094000002</v>
      </c>
      <c r="BB27" s="227">
        <f>BB28+BB29+BB30+BB31+BB32</f>
        <v>1.3629328048877276</v>
      </c>
      <c r="BC27" s="227">
        <f>BC28+BC29+BC30+BC31+BC32</f>
        <v>643805.55415</v>
      </c>
      <c r="BD27" s="230">
        <f>+BC27/AZ27</f>
        <v>0.9635736890161563</v>
      </c>
    </row>
    <row r="28" spans="1:56" ht="47.25">
      <c r="A28" s="101" t="s">
        <v>530</v>
      </c>
      <c r="B28" s="57" t="s">
        <v>531</v>
      </c>
      <c r="C28" s="101">
        <v>261</v>
      </c>
      <c r="D28" s="101">
        <v>26100</v>
      </c>
      <c r="E28" s="240">
        <v>0</v>
      </c>
      <c r="F28" s="240">
        <v>0</v>
      </c>
      <c r="G28" s="241"/>
      <c r="H28" s="240">
        <v>0</v>
      </c>
      <c r="I28" s="240">
        <v>0</v>
      </c>
      <c r="J28" s="241"/>
      <c r="K28" s="242">
        <v>0</v>
      </c>
      <c r="L28" s="242">
        <v>0</v>
      </c>
      <c r="M28" s="241"/>
      <c r="N28" s="242">
        <v>0</v>
      </c>
      <c r="O28" s="242">
        <v>0</v>
      </c>
      <c r="P28" s="241"/>
      <c r="Q28" s="242"/>
      <c r="R28" s="242"/>
      <c r="S28" s="241"/>
      <c r="T28" s="242"/>
      <c r="U28" s="242"/>
      <c r="V28" s="241"/>
      <c r="W28" s="242"/>
      <c r="X28" s="242"/>
      <c r="Y28" s="243"/>
      <c r="Z28" s="244"/>
      <c r="AA28" s="244"/>
      <c r="AB28" s="247"/>
      <c r="AC28" s="180"/>
      <c r="AD28" s="180"/>
      <c r="AE28" s="235"/>
      <c r="AF28" s="180"/>
      <c r="AG28" s="180"/>
      <c r="AH28" s="235"/>
      <c r="AI28" s="180"/>
      <c r="AJ28" s="235"/>
      <c r="AK28" s="180"/>
      <c r="AL28" s="180"/>
      <c r="AM28" s="235"/>
      <c r="AN28" s="180"/>
      <c r="AO28" s="235"/>
      <c r="AP28" s="180"/>
      <c r="AQ28" s="180"/>
      <c r="AR28" s="235"/>
      <c r="AS28" s="180"/>
      <c r="AT28" s="235"/>
      <c r="AU28" s="180"/>
      <c r="AV28" s="180"/>
      <c r="AW28" s="235"/>
      <c r="AX28" s="180"/>
      <c r="AY28" s="235"/>
      <c r="AZ28" s="180"/>
      <c r="BA28" s="180"/>
      <c r="BB28" s="235"/>
      <c r="BC28" s="180"/>
      <c r="BD28" s="235"/>
    </row>
    <row r="29" spans="1:56" ht="31.5">
      <c r="A29" s="101" t="s">
        <v>532</v>
      </c>
      <c r="B29" s="57" t="s">
        <v>533</v>
      </c>
      <c r="C29" s="101">
        <v>262</v>
      </c>
      <c r="D29" s="101">
        <v>26200</v>
      </c>
      <c r="E29" s="240">
        <v>269606.78</v>
      </c>
      <c r="F29" s="240">
        <v>256162.72</v>
      </c>
      <c r="G29" s="241">
        <f>+F29/E29</f>
        <v>0.950134562639708</v>
      </c>
      <c r="H29" s="240">
        <v>280585.79</v>
      </c>
      <c r="I29" s="240">
        <v>269022.99</v>
      </c>
      <c r="J29" s="241">
        <f>+I29/H29</f>
        <v>0.9587905004027467</v>
      </c>
      <c r="K29" s="242">
        <v>308488.51</v>
      </c>
      <c r="L29" s="242">
        <v>274063.81</v>
      </c>
      <c r="M29" s="241">
        <f>+L29/K29</f>
        <v>0.888408485619124</v>
      </c>
      <c r="N29" s="242">
        <v>294541.61</v>
      </c>
      <c r="O29" s="242">
        <v>263387.91</v>
      </c>
      <c r="P29" s="241">
        <f>+O29/N29</f>
        <v>0.8942298848709355</v>
      </c>
      <c r="Q29" s="242">
        <v>300127.58</v>
      </c>
      <c r="R29" s="242">
        <v>294060.81</v>
      </c>
      <c r="S29" s="241">
        <f>+R29/Q29</f>
        <v>0.9797860296611194</v>
      </c>
      <c r="T29" s="242">
        <f>345449051.26/1000</f>
        <v>345449.05126</v>
      </c>
      <c r="U29" s="242">
        <f>337604427.22/1000</f>
        <v>337604.42722</v>
      </c>
      <c r="V29" s="241">
        <f>+U29/T29</f>
        <v>0.9772915166176104</v>
      </c>
      <c r="W29" s="242">
        <f>399323533.5/1000</f>
        <v>399323.5335</v>
      </c>
      <c r="X29" s="242">
        <f>390495661.18/1000</f>
        <v>390495.66118</v>
      </c>
      <c r="Y29" s="243">
        <f>+X29/W29</f>
        <v>0.9778929324735127</v>
      </c>
      <c r="Z29" s="244">
        <v>406339.04</v>
      </c>
      <c r="AA29" s="244">
        <f>398631118.4/1000</f>
        <v>398631.1184</v>
      </c>
      <c r="AB29" s="245">
        <f>AA29/Z29</f>
        <v>0.9810308121021303</v>
      </c>
      <c r="AC29" s="180">
        <f>(421689895.52/1000)+5</f>
        <v>421694.89551999996</v>
      </c>
      <c r="AD29" s="180">
        <f>(409424813.78/1000)+4.99</f>
        <v>409429.80377999996</v>
      </c>
      <c r="AE29" s="235">
        <f>AD29/AC29</f>
        <v>0.9709147730496579</v>
      </c>
      <c r="AF29" s="180">
        <f>+(388783635.19-369000)/1000</f>
        <v>388414.63519</v>
      </c>
      <c r="AG29" s="180">
        <f>(193332809.55/1000)</f>
        <v>193332.80955</v>
      </c>
      <c r="AH29" s="235">
        <f>AG29/AF29</f>
        <v>0.497748519325045</v>
      </c>
      <c r="AI29" s="180">
        <f>(385876171.56-369000)/1000</f>
        <v>385507.17156</v>
      </c>
      <c r="AJ29" s="235">
        <f>+AI29/AF29</f>
        <v>0.9925145363573188</v>
      </c>
      <c r="AK29" s="180">
        <f>534914621.35/1000</f>
        <v>534914.62135</v>
      </c>
      <c r="AL29" s="180">
        <f>(193332809.55/1000)</f>
        <v>193332.80955</v>
      </c>
      <c r="AM29" s="235">
        <f>AL29/AK29</f>
        <v>0.3614274163268766</v>
      </c>
      <c r="AN29" s="180">
        <f>524657764.21/1000</f>
        <v>524657.7642099999</v>
      </c>
      <c r="AO29" s="235">
        <f>+AN29/AK29</f>
        <v>0.9808252443836473</v>
      </c>
      <c r="AP29" s="180">
        <f>605952610.33/1000</f>
        <v>605952.61033</v>
      </c>
      <c r="AQ29" s="180">
        <f>(193332809.55/1000)</f>
        <v>193332.80955</v>
      </c>
      <c r="AR29" s="235">
        <f>AQ29/AP29</f>
        <v>0.319055989287201</v>
      </c>
      <c r="AS29" s="180">
        <f>598377065.9/1000</f>
        <v>598377.0658999999</v>
      </c>
      <c r="AT29" s="235">
        <f>+AS29/AP29</f>
        <v>0.9874981239442562</v>
      </c>
      <c r="AU29" s="180">
        <f>663288077.69/1000</f>
        <v>663288.0776900001</v>
      </c>
      <c r="AV29" s="180">
        <f>(193332809.55/1000)</f>
        <v>193332.80955</v>
      </c>
      <c r="AW29" s="235">
        <f>AV29/AU29</f>
        <v>0.2914763826651467</v>
      </c>
      <c r="AX29" s="180">
        <f>657406498.54/1000</f>
        <v>657406.49854</v>
      </c>
      <c r="AY29" s="235">
        <f aca="true" t="shared" si="16" ref="AY29:AY34">+AX29/AU29</f>
        <v>0.9911326927954387</v>
      </c>
      <c r="AZ29" s="180">
        <f>529560522.92/1000</f>
        <v>529560.52292</v>
      </c>
      <c r="BA29" s="180">
        <f>(193332809.55/1000)</f>
        <v>193332.80955</v>
      </c>
      <c r="BB29" s="235">
        <f>BA29/AZ29</f>
        <v>0.3650816123603053</v>
      </c>
      <c r="BC29" s="180">
        <f>516421248.57/1000</f>
        <v>516421.24857</v>
      </c>
      <c r="BD29" s="235">
        <f aca="true" t="shared" si="17" ref="BD29:BD34">+BC29/AZ29</f>
        <v>0.9751883424437494</v>
      </c>
    </row>
    <row r="30" spans="1:56" ht="47.25">
      <c r="A30" s="101" t="s">
        <v>534</v>
      </c>
      <c r="B30" s="57" t="s">
        <v>535</v>
      </c>
      <c r="C30" s="101">
        <v>263</v>
      </c>
      <c r="D30" s="101" t="s">
        <v>536</v>
      </c>
      <c r="E30" s="240">
        <v>19512.8</v>
      </c>
      <c r="F30" s="240">
        <v>19445.28</v>
      </c>
      <c r="G30" s="241">
        <f>+F30/E30</f>
        <v>0.9965397072690746</v>
      </c>
      <c r="H30" s="240">
        <v>18985.5</v>
      </c>
      <c r="I30" s="240">
        <v>17416.64</v>
      </c>
      <c r="J30" s="241">
        <f>+I30/H30</f>
        <v>0.9173653577730373</v>
      </c>
      <c r="K30" s="242">
        <v>17271.41</v>
      </c>
      <c r="L30" s="242">
        <v>16763.95</v>
      </c>
      <c r="M30" s="241">
        <f>+L30/K30</f>
        <v>0.9706184961158354</v>
      </c>
      <c r="N30" s="242">
        <v>20262.21</v>
      </c>
      <c r="O30" s="242">
        <v>18195.1</v>
      </c>
      <c r="P30" s="241">
        <f>+O30/N30</f>
        <v>0.8979820068985565</v>
      </c>
      <c r="Q30" s="242">
        <v>18323.84</v>
      </c>
      <c r="R30" s="242">
        <v>18320.47</v>
      </c>
      <c r="S30" s="241">
        <f>+R30/Q30</f>
        <v>0.9998160865844714</v>
      </c>
      <c r="T30" s="242">
        <f>17772536/1000</f>
        <v>17772.536</v>
      </c>
      <c r="U30" s="242">
        <f>17402740.13/1000</f>
        <v>17402.74013</v>
      </c>
      <c r="V30" s="241">
        <f>+U30/T30</f>
        <v>0.9791928473235333</v>
      </c>
      <c r="W30" s="242">
        <f>36472586/1000</f>
        <v>36472.586</v>
      </c>
      <c r="X30" s="242">
        <f>36459510.9/1000</f>
        <v>36459.5109</v>
      </c>
      <c r="Y30" s="243">
        <f>+X30/W30</f>
        <v>0.9996415088307694</v>
      </c>
      <c r="Z30" s="244">
        <f>44175509/1000</f>
        <v>44175.509</v>
      </c>
      <c r="AA30" s="244">
        <f>42589993.46/1000</f>
        <v>42589.99346</v>
      </c>
      <c r="AB30" s="245">
        <f>AA30/Z30</f>
        <v>0.9641087205129883</v>
      </c>
      <c r="AC30" s="180">
        <f>48027200/1000</f>
        <v>48027.2</v>
      </c>
      <c r="AD30" s="180">
        <f>44510945.49/1000</f>
        <v>44510.945490000006</v>
      </c>
      <c r="AE30" s="235">
        <f>AD30/AC30</f>
        <v>0.9267861855365295</v>
      </c>
      <c r="AF30" s="180">
        <f>110030292.91/1000</f>
        <v>110030.29290999999</v>
      </c>
      <c r="AG30" s="180">
        <f>53475897.36/1000</f>
        <v>53475.89736</v>
      </c>
      <c r="AH30" s="235">
        <f>AG30/AF30</f>
        <v>0.48601067892949235</v>
      </c>
      <c r="AI30" s="180">
        <f>107964162.18/1000</f>
        <v>107964.16218000001</v>
      </c>
      <c r="AJ30" s="235">
        <f>+AI30/AF30</f>
        <v>0.9812221645934363</v>
      </c>
      <c r="AK30" s="180">
        <f>115546593.1/1000</f>
        <v>115546.5931</v>
      </c>
      <c r="AL30" s="180">
        <f>53475897.36/1000</f>
        <v>53475.89736</v>
      </c>
      <c r="AM30" s="235">
        <f>AL30/AK30</f>
        <v>0.46280808395379686</v>
      </c>
      <c r="AN30" s="180">
        <f>113340113.5/1000</f>
        <v>113340.1135</v>
      </c>
      <c r="AO30" s="235">
        <f>+AN30/AK30</f>
        <v>0.9809039839185013</v>
      </c>
      <c r="AP30" s="180">
        <f>129480895/1000</f>
        <v>129480.895</v>
      </c>
      <c r="AQ30" s="180">
        <f>53475897.36/1000</f>
        <v>53475.89736</v>
      </c>
      <c r="AR30" s="235">
        <f>AQ30/AP30</f>
        <v>0.4130022221425022</v>
      </c>
      <c r="AS30" s="180">
        <f>124639369.26/1000</f>
        <v>124639.36926</v>
      </c>
      <c r="AT30" s="235">
        <f>+AS30/AP30</f>
        <v>0.9626081844738562</v>
      </c>
      <c r="AU30" s="180">
        <f>130612216/1000</f>
        <v>130612.216</v>
      </c>
      <c r="AV30" s="180">
        <f>53475897.36/1000</f>
        <v>53475.89736</v>
      </c>
      <c r="AW30" s="235">
        <f>AV30/AU30</f>
        <v>0.40942492974776573</v>
      </c>
      <c r="AX30" s="180">
        <f>126539030.5/1000</f>
        <v>126539.0305</v>
      </c>
      <c r="AY30" s="235">
        <f t="shared" si="16"/>
        <v>0.9688146666158699</v>
      </c>
      <c r="AZ30" s="180">
        <f>138461124/1000</f>
        <v>138461.124</v>
      </c>
      <c r="BA30" s="180">
        <f>53475897.36/1000</f>
        <v>53475.89736</v>
      </c>
      <c r="BB30" s="235">
        <f>BA30/AZ30</f>
        <v>0.38621597033980454</v>
      </c>
      <c r="BC30" s="180">
        <f>127262407.45/1000</f>
        <v>127262.40745</v>
      </c>
      <c r="BD30" s="235">
        <f t="shared" si="17"/>
        <v>0.9191201383718364</v>
      </c>
    </row>
    <row r="31" spans="1:56" ht="63">
      <c r="A31" s="101" t="s">
        <v>654</v>
      </c>
      <c r="B31" s="57" t="s">
        <v>653</v>
      </c>
      <c r="C31" s="101">
        <v>265</v>
      </c>
      <c r="D31" s="101"/>
      <c r="E31" s="240"/>
      <c r="F31" s="240"/>
      <c r="G31" s="241"/>
      <c r="H31" s="240"/>
      <c r="I31" s="240"/>
      <c r="J31" s="241"/>
      <c r="K31" s="242"/>
      <c r="L31" s="242"/>
      <c r="M31" s="241"/>
      <c r="N31" s="242"/>
      <c r="O31" s="242"/>
      <c r="P31" s="241"/>
      <c r="Q31" s="242"/>
      <c r="R31" s="242"/>
      <c r="S31" s="241"/>
      <c r="T31" s="242"/>
      <c r="U31" s="242"/>
      <c r="V31" s="241"/>
      <c r="W31" s="242"/>
      <c r="X31" s="242"/>
      <c r="Y31" s="243"/>
      <c r="Z31" s="244"/>
      <c r="AA31" s="244"/>
      <c r="AB31" s="245"/>
      <c r="AC31" s="180"/>
      <c r="AD31" s="180"/>
      <c r="AE31" s="235"/>
      <c r="AF31" s="180"/>
      <c r="AG31" s="180"/>
      <c r="AH31" s="235"/>
      <c r="AI31" s="180"/>
      <c r="AJ31" s="235"/>
      <c r="AK31" s="180"/>
      <c r="AL31" s="180"/>
      <c r="AM31" s="235"/>
      <c r="AN31" s="180"/>
      <c r="AO31" s="235"/>
      <c r="AP31" s="180"/>
      <c r="AQ31" s="180"/>
      <c r="AR31" s="235"/>
      <c r="AS31" s="180"/>
      <c r="AT31" s="235"/>
      <c r="AU31" s="180">
        <f>61505.55/1000</f>
        <v>61.50555</v>
      </c>
      <c r="AV31" s="180"/>
      <c r="AW31" s="235"/>
      <c r="AX31" s="180">
        <f>61505.55/1000</f>
        <v>61.50555</v>
      </c>
      <c r="AY31" s="235">
        <f t="shared" si="16"/>
        <v>1</v>
      </c>
      <c r="AZ31" s="180">
        <f>60905.3/1000</f>
        <v>60.905300000000004</v>
      </c>
      <c r="BA31" s="180"/>
      <c r="BB31" s="235"/>
      <c r="BC31" s="180">
        <f>60891.13/1000</f>
        <v>60.89113</v>
      </c>
      <c r="BD31" s="235">
        <f t="shared" si="17"/>
        <v>0.9997673437287066</v>
      </c>
    </row>
    <row r="32" spans="1:56" ht="31.5">
      <c r="A32" s="101" t="s">
        <v>655</v>
      </c>
      <c r="B32" s="57" t="s">
        <v>537</v>
      </c>
      <c r="C32" s="101">
        <v>266</v>
      </c>
      <c r="D32" s="101"/>
      <c r="E32" s="240"/>
      <c r="F32" s="240"/>
      <c r="G32" s="241"/>
      <c r="H32" s="240"/>
      <c r="I32" s="240"/>
      <c r="J32" s="241"/>
      <c r="K32" s="242"/>
      <c r="L32" s="242"/>
      <c r="M32" s="241"/>
      <c r="N32" s="242"/>
      <c r="O32" s="242"/>
      <c r="P32" s="241"/>
      <c r="Q32" s="242"/>
      <c r="R32" s="242"/>
      <c r="S32" s="241"/>
      <c r="T32" s="242"/>
      <c r="U32" s="242"/>
      <c r="V32" s="241"/>
      <c r="W32" s="242"/>
      <c r="X32" s="242"/>
      <c r="Y32" s="243"/>
      <c r="Z32" s="244"/>
      <c r="AA32" s="244"/>
      <c r="AB32" s="245"/>
      <c r="AC32" s="180"/>
      <c r="AD32" s="180"/>
      <c r="AE32" s="235"/>
      <c r="AF32" s="180">
        <f>(59272.14+2700)/1000</f>
        <v>61.972139999999996</v>
      </c>
      <c r="AG32" s="180">
        <f>(36054.03+1260)/1000</f>
        <v>37.314029999999995</v>
      </c>
      <c r="AH32" s="235">
        <f>AG32/AF32</f>
        <v>0.6021097544799969</v>
      </c>
      <c r="AI32" s="180">
        <f>(2350.65+59272.14)/1000</f>
        <v>61.62279</v>
      </c>
      <c r="AJ32" s="235">
        <f>+AI32/AF32</f>
        <v>0.9943627894728181</v>
      </c>
      <c r="AK32" s="180">
        <f>65447.22/1000</f>
        <v>65.44722</v>
      </c>
      <c r="AL32" s="180">
        <f>(36054.03+1260)/1000</f>
        <v>37.314029999999995</v>
      </c>
      <c r="AM32" s="235">
        <f>AL32/AK32</f>
        <v>0.5701392664195667</v>
      </c>
      <c r="AN32" s="248">
        <f>64226.25/1000</f>
        <v>64.22625</v>
      </c>
      <c r="AO32" s="235">
        <f>+AN32/AK32</f>
        <v>0.9813442037721387</v>
      </c>
      <c r="AP32" s="180">
        <f>70054.23/1000</f>
        <v>70.05422999999999</v>
      </c>
      <c r="AQ32" s="180">
        <f>(36054.03+1260)/1000</f>
        <v>37.314029999999995</v>
      </c>
      <c r="AR32" s="235">
        <f>AQ32/AP32</f>
        <v>0.5326449237968928</v>
      </c>
      <c r="AS32" s="248">
        <f>67826.17/1000</f>
        <v>67.82617</v>
      </c>
      <c r="AT32" s="235">
        <f>+AS32/AP32</f>
        <v>0.968195211052923</v>
      </c>
      <c r="AU32" s="180">
        <f>(38317.77)/1000</f>
        <v>38.317769999999996</v>
      </c>
      <c r="AV32" s="180">
        <f>(36054.03+1260)/1000</f>
        <v>37.314029999999995</v>
      </c>
      <c r="AW32" s="235">
        <f>AV32/AU32</f>
        <v>0.9738048430271385</v>
      </c>
      <c r="AX32" s="248">
        <f>38317.77/1000</f>
        <v>38.317769999999996</v>
      </c>
      <c r="AY32" s="235">
        <f t="shared" si="16"/>
        <v>1</v>
      </c>
      <c r="AZ32" s="180">
        <f>61007/1000</f>
        <v>61.007</v>
      </c>
      <c r="BA32" s="180">
        <f>(36054.03+1260)/1000</f>
        <v>37.314029999999995</v>
      </c>
      <c r="BB32" s="235">
        <f>BA32/AZ32</f>
        <v>0.6116352221876178</v>
      </c>
      <c r="BC32" s="248">
        <f>61007/1000</f>
        <v>61.007</v>
      </c>
      <c r="BD32" s="235">
        <f t="shared" si="17"/>
        <v>1</v>
      </c>
    </row>
    <row r="33" spans="1:56" ht="15.75">
      <c r="A33" s="153" t="s">
        <v>538</v>
      </c>
      <c r="B33" s="226" t="s">
        <v>539</v>
      </c>
      <c r="C33" s="153">
        <v>290</v>
      </c>
      <c r="D33" s="153">
        <v>29000</v>
      </c>
      <c r="E33" s="246">
        <f>SUM(E34:E35)</f>
        <v>8.5</v>
      </c>
      <c r="F33" s="246">
        <f>SUM(F34:F35)</f>
        <v>8.31</v>
      </c>
      <c r="G33" s="228">
        <f>+F33/E33</f>
        <v>0.9776470588235294</v>
      </c>
      <c r="H33" s="246">
        <f>SUM(H34:H35)</f>
        <v>20.54</v>
      </c>
      <c r="I33" s="246">
        <f>SUM(I34:I35)</f>
        <v>19.91</v>
      </c>
      <c r="J33" s="228">
        <f>+I33/H33</f>
        <v>0.9693281402142162</v>
      </c>
      <c r="K33" s="246">
        <f>SUM(K34:K35)</f>
        <v>5.47</v>
      </c>
      <c r="L33" s="246">
        <f>SUM(L34:L35)</f>
        <v>4.29</v>
      </c>
      <c r="M33" s="228">
        <f>+L33/K33</f>
        <v>0.7842778793418648</v>
      </c>
      <c r="N33" s="246">
        <f>SUM(N34:N35)</f>
        <v>153.47</v>
      </c>
      <c r="O33" s="246">
        <f>SUM(O34:O35)</f>
        <v>153.47</v>
      </c>
      <c r="P33" s="228">
        <f>+O33/N33</f>
        <v>1</v>
      </c>
      <c r="Q33" s="246">
        <f>SUM(Q34:Q35)</f>
        <v>16.51</v>
      </c>
      <c r="R33" s="246">
        <f>SUM(R34:R35)</f>
        <v>14.2</v>
      </c>
      <c r="S33" s="228">
        <f>+R33/Q33</f>
        <v>0.8600847970926709</v>
      </c>
      <c r="T33" s="246">
        <f>SUM(T34:T35)</f>
        <v>22.21</v>
      </c>
      <c r="U33" s="246">
        <f>SUM(U34:U35)</f>
        <v>18.01</v>
      </c>
      <c r="V33" s="228">
        <f>+U33/T33</f>
        <v>0.8108959927960379</v>
      </c>
      <c r="W33" s="246">
        <f>SUM(W34:W35)</f>
        <v>8.345279999999999</v>
      </c>
      <c r="X33" s="246">
        <f>SUM(X34:X35)</f>
        <v>7.54528</v>
      </c>
      <c r="Y33" s="229">
        <f>+X33/W33</f>
        <v>0.9041374285823844</v>
      </c>
      <c r="Z33" s="227">
        <f>SUM(Z34:Z35)</f>
        <v>25.119459999999997</v>
      </c>
      <c r="AA33" s="227">
        <f>SUM(AA34:AA35)</f>
        <v>22.36961</v>
      </c>
      <c r="AB33" s="229">
        <f>AA33/Z33</f>
        <v>0.8905290957687787</v>
      </c>
      <c r="AC33" s="227">
        <f>SUM(AC34:AC35)</f>
        <v>87.92918</v>
      </c>
      <c r="AD33" s="227">
        <f>SUM(AD34:AD35)</f>
        <v>84.32043</v>
      </c>
      <c r="AE33" s="230">
        <f>AD33/AC33</f>
        <v>0.9589584481511143</v>
      </c>
      <c r="AF33" s="227">
        <f>SUM(AF34:AF35)</f>
        <v>103.544</v>
      </c>
      <c r="AG33" s="227">
        <f>SUM(AG34:AG35)</f>
        <v>50.851</v>
      </c>
      <c r="AH33" s="230">
        <f>AG33/AF33</f>
        <v>0.49110523062659356</v>
      </c>
      <c r="AI33" s="227">
        <f>SUM(AI34:AI35)</f>
        <v>95.578</v>
      </c>
      <c r="AJ33" s="230">
        <f>+AI33/AF33</f>
        <v>0.9230665224445647</v>
      </c>
      <c r="AK33" s="227">
        <f>SUM(AK34:AK35)</f>
        <v>100.299</v>
      </c>
      <c r="AL33" s="227">
        <f>SUM(AL34:AL35)</f>
        <v>50.851</v>
      </c>
      <c r="AM33" s="230">
        <f>AL33/AK33</f>
        <v>0.5069940876778432</v>
      </c>
      <c r="AN33" s="227">
        <f>SUM(AN34:AN35)</f>
        <v>97.59823</v>
      </c>
      <c r="AO33" s="230">
        <f>+AN33/AK33</f>
        <v>0.9730728122912491</v>
      </c>
      <c r="AP33" s="227">
        <f>SUM(AP34:AP35)</f>
        <v>100.3</v>
      </c>
      <c r="AQ33" s="227">
        <f>SUM(AQ34:AQ35)</f>
        <v>50.851</v>
      </c>
      <c r="AR33" s="230">
        <f>AQ33/AP33</f>
        <v>0.5069890329012962</v>
      </c>
      <c r="AS33" s="227">
        <f>SUM(AS34:AS35)</f>
        <v>90.59596</v>
      </c>
      <c r="AT33" s="230">
        <f>+AS33/AP33</f>
        <v>0.9032498504486541</v>
      </c>
      <c r="AU33" s="227">
        <f>SUM(AU34:AU35)</f>
        <v>100.3</v>
      </c>
      <c r="AV33" s="227">
        <f>SUM(AV34:AV35)</f>
        <v>50.851</v>
      </c>
      <c r="AW33" s="230">
        <f>AV33/AU33</f>
        <v>0.5069890329012962</v>
      </c>
      <c r="AX33" s="227">
        <f>SUM(AX34:AX35)</f>
        <v>88.18</v>
      </c>
      <c r="AY33" s="230">
        <f t="shared" si="16"/>
        <v>0.8791625124626122</v>
      </c>
      <c r="AZ33" s="227">
        <f>SUM(AZ34:AZ35)</f>
        <v>92.324</v>
      </c>
      <c r="BA33" s="227">
        <f>SUM(BA34:BA35)</f>
        <v>50.851</v>
      </c>
      <c r="BB33" s="230">
        <f>BA33/AZ33</f>
        <v>0.5507885273601664</v>
      </c>
      <c r="BC33" s="227">
        <f>SUM(BC34:BC35)</f>
        <v>83.536</v>
      </c>
      <c r="BD33" s="230">
        <f t="shared" si="17"/>
        <v>0.9048134829513453</v>
      </c>
    </row>
    <row r="34" spans="1:56" ht="63">
      <c r="A34" s="114" t="s">
        <v>540</v>
      </c>
      <c r="B34" s="38" t="s">
        <v>541</v>
      </c>
      <c r="C34" s="101">
        <v>291</v>
      </c>
      <c r="D34" s="114" t="s">
        <v>542</v>
      </c>
      <c r="E34" s="179">
        <v>8.5</v>
      </c>
      <c r="F34" s="179">
        <v>8.31</v>
      </c>
      <c r="G34" s="235">
        <f>+F34/E34</f>
        <v>0.9776470588235294</v>
      </c>
      <c r="H34" s="179">
        <v>20.54</v>
      </c>
      <c r="I34" s="179">
        <v>19.91</v>
      </c>
      <c r="J34" s="235">
        <f>+I34/H34</f>
        <v>0.9693281402142162</v>
      </c>
      <c r="K34" s="180">
        <v>5.47</v>
      </c>
      <c r="L34" s="180">
        <v>4.29</v>
      </c>
      <c r="M34" s="235">
        <f>+L34/K34</f>
        <v>0.7842778793418648</v>
      </c>
      <c r="N34" s="180">
        <v>3.47</v>
      </c>
      <c r="O34" s="180">
        <v>3.47</v>
      </c>
      <c r="P34" s="235">
        <f>+O34/N34</f>
        <v>1</v>
      </c>
      <c r="Q34" s="180">
        <v>16.51</v>
      </c>
      <c r="R34" s="180">
        <v>14.2</v>
      </c>
      <c r="S34" s="235">
        <f>+R34/Q34</f>
        <v>0.8600847970926709</v>
      </c>
      <c r="T34" s="180">
        <f>13210/1000</f>
        <v>13.21</v>
      </c>
      <c r="U34" s="180">
        <f>13210/1000</f>
        <v>13.21</v>
      </c>
      <c r="V34" s="235">
        <f>+U34/T34</f>
        <v>1</v>
      </c>
      <c r="W34" s="180">
        <f>5145.28/1000</f>
        <v>5.14528</v>
      </c>
      <c r="X34" s="180">
        <f>4345.28/1000</f>
        <v>4.34528</v>
      </c>
      <c r="Y34" s="237">
        <f>+X34/W34</f>
        <v>0.8445176938864357</v>
      </c>
      <c r="Z34" s="180">
        <f>13119.46/1000</f>
        <v>13.119459999999998</v>
      </c>
      <c r="AA34" s="180">
        <f>11589.61/1000</f>
        <v>11.58961</v>
      </c>
      <c r="AB34" s="237">
        <f>AA34/Z34</f>
        <v>0.8833907798034372</v>
      </c>
      <c r="AC34" s="180">
        <f>85623.94/1000</f>
        <v>85.62394</v>
      </c>
      <c r="AD34" s="180">
        <f>82741.02/1000</f>
        <v>82.74102</v>
      </c>
      <c r="AE34" s="235">
        <f>AD34/AC34</f>
        <v>0.9663304444995173</v>
      </c>
      <c r="AF34" s="180">
        <v>103.544</v>
      </c>
      <c r="AG34" s="180">
        <f>50851/1000</f>
        <v>50.851</v>
      </c>
      <c r="AH34" s="235">
        <f>AG34/AF34</f>
        <v>0.49110523062659356</v>
      </c>
      <c r="AI34" s="180">
        <f>(90342+5236)/1000</f>
        <v>95.578</v>
      </c>
      <c r="AJ34" s="235">
        <f>+AI34/AF34</f>
        <v>0.9230665224445647</v>
      </c>
      <c r="AK34" s="180">
        <f>100299/1000</f>
        <v>100.299</v>
      </c>
      <c r="AL34" s="180">
        <f>50851/1000</f>
        <v>50.851</v>
      </c>
      <c r="AM34" s="235">
        <f>AL34/AK34</f>
        <v>0.5069940876778432</v>
      </c>
      <c r="AN34" s="180">
        <f>97598.23/1000</f>
        <v>97.59823</v>
      </c>
      <c r="AO34" s="235">
        <f>+AN34/AK34</f>
        <v>0.9730728122912491</v>
      </c>
      <c r="AP34" s="180">
        <f>100300/1000</f>
        <v>100.3</v>
      </c>
      <c r="AQ34" s="180">
        <f>50851/1000</f>
        <v>50.851</v>
      </c>
      <c r="AR34" s="235">
        <f>AQ34/AP34</f>
        <v>0.5069890329012962</v>
      </c>
      <c r="AS34" s="180">
        <f>90595.96/1000</f>
        <v>90.59596</v>
      </c>
      <c r="AT34" s="235">
        <f>+AS34/AP34</f>
        <v>0.9032498504486541</v>
      </c>
      <c r="AU34" s="180">
        <f>100300/1000</f>
        <v>100.3</v>
      </c>
      <c r="AV34" s="180">
        <f>50851/1000</f>
        <v>50.851</v>
      </c>
      <c r="AW34" s="235">
        <f>AV34/AU34</f>
        <v>0.5069890329012962</v>
      </c>
      <c r="AX34" s="180">
        <f>88180/1000</f>
        <v>88.18</v>
      </c>
      <c r="AY34" s="235">
        <f t="shared" si="16"/>
        <v>0.8791625124626122</v>
      </c>
      <c r="AZ34" s="180">
        <f>92324/1000</f>
        <v>92.324</v>
      </c>
      <c r="BA34" s="180">
        <f>50851/1000</f>
        <v>50.851</v>
      </c>
      <c r="BB34" s="235">
        <f>BA34/AZ34</f>
        <v>0.5507885273601664</v>
      </c>
      <c r="BC34" s="180">
        <f>83536/1000</f>
        <v>83.536</v>
      </c>
      <c r="BD34" s="235">
        <f t="shared" si="17"/>
        <v>0.9048134829513453</v>
      </c>
    </row>
    <row r="35" spans="1:56" ht="15.75">
      <c r="A35" s="114" t="s">
        <v>543</v>
      </c>
      <c r="B35" s="38" t="s">
        <v>544</v>
      </c>
      <c r="C35" s="114">
        <v>296</v>
      </c>
      <c r="D35" s="114" t="s">
        <v>545</v>
      </c>
      <c r="E35" s="179">
        <v>0</v>
      </c>
      <c r="F35" s="179">
        <v>0</v>
      </c>
      <c r="G35" s="235"/>
      <c r="H35" s="179">
        <v>0</v>
      </c>
      <c r="I35" s="179">
        <v>0</v>
      </c>
      <c r="J35" s="235"/>
      <c r="K35" s="180">
        <v>0</v>
      </c>
      <c r="L35" s="180">
        <v>0</v>
      </c>
      <c r="M35" s="235"/>
      <c r="N35" s="180">
        <v>150</v>
      </c>
      <c r="O35" s="180">
        <v>150</v>
      </c>
      <c r="P35" s="235">
        <f>+O35/N35</f>
        <v>1</v>
      </c>
      <c r="Q35" s="180"/>
      <c r="R35" s="180"/>
      <c r="S35" s="235"/>
      <c r="T35" s="180">
        <v>9</v>
      </c>
      <c r="U35" s="180">
        <f>4800/1000</f>
        <v>4.8</v>
      </c>
      <c r="V35" s="235">
        <f>+U35/T35</f>
        <v>0.5333333333333333</v>
      </c>
      <c r="W35" s="180">
        <v>3.2</v>
      </c>
      <c r="X35" s="180">
        <f>3200/1000</f>
        <v>3.2</v>
      </c>
      <c r="Y35" s="237">
        <f>+X35/W35</f>
        <v>1</v>
      </c>
      <c r="Z35" s="180">
        <f>12000/1000</f>
        <v>12</v>
      </c>
      <c r="AA35" s="180">
        <f>10780/1000</f>
        <v>10.78</v>
      </c>
      <c r="AB35" s="237">
        <f>AA35/Z35</f>
        <v>0.8983333333333333</v>
      </c>
      <c r="AC35" s="180">
        <f>2305.24/1000</f>
        <v>2.30524</v>
      </c>
      <c r="AD35" s="180">
        <f>1579.41/1000</f>
        <v>1.57941</v>
      </c>
      <c r="AE35" s="235">
        <f>AD35/AC35</f>
        <v>0.6851390744564557</v>
      </c>
      <c r="AF35" s="239"/>
      <c r="AG35" s="239"/>
      <c r="AH35" s="235"/>
      <c r="AI35" s="239"/>
      <c r="AJ35" s="235"/>
      <c r="AK35" s="180"/>
      <c r="AL35" s="180"/>
      <c r="AM35" s="235"/>
      <c r="AN35" s="180"/>
      <c r="AO35" s="235"/>
      <c r="AP35" s="180"/>
      <c r="AQ35" s="180"/>
      <c r="AR35" s="235"/>
      <c r="AS35" s="180"/>
      <c r="AT35" s="235"/>
      <c r="AU35" s="180"/>
      <c r="AV35" s="180"/>
      <c r="AW35" s="235"/>
      <c r="AX35" s="180"/>
      <c r="AY35" s="235"/>
      <c r="AZ35" s="180"/>
      <c r="BA35" s="180"/>
      <c r="BB35" s="235"/>
      <c r="BC35" s="180"/>
      <c r="BD35" s="235"/>
    </row>
    <row r="36" spans="1:56" ht="31.5">
      <c r="A36" s="220" t="s">
        <v>5</v>
      </c>
      <c r="B36" s="221" t="s">
        <v>546</v>
      </c>
      <c r="C36" s="220">
        <v>300</v>
      </c>
      <c r="D36" s="220">
        <v>30000</v>
      </c>
      <c r="E36" s="222" t="e">
        <f>+E37+E38+E39</f>
        <v>#REF!</v>
      </c>
      <c r="F36" s="222" t="e">
        <f>+F37+F38+F39</f>
        <v>#REF!</v>
      </c>
      <c r="G36" s="223" t="e">
        <f>+F36/E36</f>
        <v>#REF!</v>
      </c>
      <c r="H36" s="222" t="e">
        <f>+H37+H38+H39</f>
        <v>#REF!</v>
      </c>
      <c r="I36" s="222" t="e">
        <f>+I37+I38+I39</f>
        <v>#REF!</v>
      </c>
      <c r="J36" s="223" t="e">
        <f>+I36/H36</f>
        <v>#REF!</v>
      </c>
      <c r="K36" s="222" t="e">
        <f>+K37+K38+K39</f>
        <v>#REF!</v>
      </c>
      <c r="L36" s="222" t="e">
        <f>+L37+L38+L39</f>
        <v>#REF!</v>
      </c>
      <c r="M36" s="223" t="e">
        <f>+L36/K36</f>
        <v>#REF!</v>
      </c>
      <c r="N36" s="222" t="e">
        <f>+N37+N38+N39</f>
        <v>#REF!</v>
      </c>
      <c r="O36" s="222" t="e">
        <f>+O37+O38+O39</f>
        <v>#REF!</v>
      </c>
      <c r="P36" s="223" t="e">
        <f>+O36/N36</f>
        <v>#REF!</v>
      </c>
      <c r="Q36" s="222" t="e">
        <f>+Q37+Q38+Q39</f>
        <v>#REF!</v>
      </c>
      <c r="R36" s="222" t="e">
        <f>+R37+R38+R39</f>
        <v>#REF!</v>
      </c>
      <c r="S36" s="223" t="e">
        <f>+R36/Q36</f>
        <v>#REF!</v>
      </c>
      <c r="T36" s="222" t="e">
        <f>+T37+T38+T39</f>
        <v>#REF!</v>
      </c>
      <c r="U36" s="222" t="e">
        <f>+U37+U38+U39</f>
        <v>#REF!</v>
      </c>
      <c r="V36" s="223" t="e">
        <f>+U36/T36</f>
        <v>#REF!</v>
      </c>
      <c r="W36" s="222" t="e">
        <f>+W37+W38+W39</f>
        <v>#REF!</v>
      </c>
      <c r="X36" s="222" t="e">
        <f>+X37+X38+X39</f>
        <v>#REF!</v>
      </c>
      <c r="Y36" s="224" t="e">
        <f>+X36/W36</f>
        <v>#REF!</v>
      </c>
      <c r="Z36" s="222" t="e">
        <f>+Z37+Z38+Z39</f>
        <v>#REF!</v>
      </c>
      <c r="AA36" s="222" t="e">
        <f>+AA37+AA38+AA39</f>
        <v>#REF!</v>
      </c>
      <c r="AB36" s="224" t="e">
        <f>AA36/Z36</f>
        <v>#REF!</v>
      </c>
      <c r="AC36" s="222" t="e">
        <f>AC37+AC38+AC39</f>
        <v>#REF!</v>
      </c>
      <c r="AD36" s="222" t="e">
        <f>AD37+AD38+AD39</f>
        <v>#REF!</v>
      </c>
      <c r="AE36" s="225" t="e">
        <f>AD36/AC36</f>
        <v>#REF!</v>
      </c>
      <c r="AF36" s="222">
        <f>AF37+AF38+AF39</f>
        <v>718.06565</v>
      </c>
      <c r="AG36" s="222">
        <f>AG37+AG38+AG39</f>
        <v>320.68205</v>
      </c>
      <c r="AH36" s="225">
        <f>AG36/AF36</f>
        <v>0.44659154772269083</v>
      </c>
      <c r="AI36" s="222">
        <f>AI37+AI38+AI39</f>
        <v>709.80922</v>
      </c>
      <c r="AJ36" s="225">
        <f>+AI36/AF36</f>
        <v>0.9885018452003657</v>
      </c>
      <c r="AK36" s="222">
        <f>AK37+AK38+AK39</f>
        <v>963.19912</v>
      </c>
      <c r="AL36" s="222">
        <f>AL37+AL38+AL39</f>
        <v>320.68205</v>
      </c>
      <c r="AM36" s="225">
        <f>AL36/AK36</f>
        <v>0.3329343261858462</v>
      </c>
      <c r="AN36" s="222">
        <f>AN37+AN38+AN39</f>
        <v>963.19911</v>
      </c>
      <c r="AO36" s="225">
        <f>+AN36/AK36</f>
        <v>0.9999999896179308</v>
      </c>
      <c r="AP36" s="222">
        <f>AP37+AP38+AP39</f>
        <v>728.49162</v>
      </c>
      <c r="AQ36" s="222">
        <f>AQ37+AQ38+AQ39</f>
        <v>320.68205</v>
      </c>
      <c r="AR36" s="225">
        <f>AQ36/AP36</f>
        <v>0.44020005336506135</v>
      </c>
      <c r="AS36" s="222">
        <f>AS37+AS38+AS39</f>
        <v>725.44074</v>
      </c>
      <c r="AT36" s="225">
        <f>+AS36/AP36</f>
        <v>0.9958120588950632</v>
      </c>
      <c r="AU36" s="222">
        <f>AU37+AU38+AU39</f>
        <v>1646.9144300000003</v>
      </c>
      <c r="AV36" s="222">
        <f>AV37+AV38+AV39</f>
        <v>320.68205</v>
      </c>
      <c r="AW36" s="225">
        <f>AV36/AU36</f>
        <v>0.19471688641406826</v>
      </c>
      <c r="AX36" s="222">
        <f>AX37+AX38+AX39</f>
        <v>1629.05527</v>
      </c>
      <c r="AY36" s="225">
        <f>+AX36/AU36</f>
        <v>0.9891559879039981</v>
      </c>
      <c r="AZ36" s="222">
        <f>AZ37+AZ38+AZ39</f>
        <v>1427.91594</v>
      </c>
      <c r="BA36" s="222">
        <f>BA37+BA38+BA39</f>
        <v>320.68205</v>
      </c>
      <c r="BB36" s="225">
        <f>BA36/AZ36</f>
        <v>0.22458048195750233</v>
      </c>
      <c r="BC36" s="222">
        <f>BC37+BC38+BC39</f>
        <v>1427.86611</v>
      </c>
      <c r="BD36" s="225">
        <f>+BC36/AZ36</f>
        <v>0.999965102987785</v>
      </c>
    </row>
    <row r="37" spans="1:56" s="317" customFormat="1" ht="31.5">
      <c r="A37" s="391" t="s">
        <v>547</v>
      </c>
      <c r="B37" s="392" t="s">
        <v>548</v>
      </c>
      <c r="C37" s="391">
        <v>310</v>
      </c>
      <c r="D37" s="391">
        <v>31000</v>
      </c>
      <c r="E37" s="393" t="e">
        <f>SUM(#REF!)</f>
        <v>#REF!</v>
      </c>
      <c r="F37" s="393" t="e">
        <f>SUM(#REF!)</f>
        <v>#REF!</v>
      </c>
      <c r="G37" s="394" t="e">
        <f>+F37/E37</f>
        <v>#REF!</v>
      </c>
      <c r="H37" s="393" t="e">
        <f>SUM(#REF!)</f>
        <v>#REF!</v>
      </c>
      <c r="I37" s="393" t="e">
        <f>SUM(#REF!)</f>
        <v>#REF!</v>
      </c>
      <c r="J37" s="394" t="e">
        <f>+I37/H37</f>
        <v>#REF!</v>
      </c>
      <c r="K37" s="393" t="e">
        <f>SUM(#REF!)</f>
        <v>#REF!</v>
      </c>
      <c r="L37" s="393" t="e">
        <f>SUM(#REF!)</f>
        <v>#REF!</v>
      </c>
      <c r="M37" s="394" t="e">
        <f>+L37/K37</f>
        <v>#REF!</v>
      </c>
      <c r="N37" s="393" t="e">
        <f>SUM(#REF!)</f>
        <v>#REF!</v>
      </c>
      <c r="O37" s="393" t="e">
        <f>SUM(#REF!)</f>
        <v>#REF!</v>
      </c>
      <c r="P37" s="394"/>
      <c r="Q37" s="393" t="e">
        <f>SUM(#REF!)</f>
        <v>#REF!</v>
      </c>
      <c r="R37" s="393" t="e">
        <f>SUM(#REF!)</f>
        <v>#REF!</v>
      </c>
      <c r="S37" s="394"/>
      <c r="T37" s="393" t="e">
        <f>SUM(#REF!)</f>
        <v>#REF!</v>
      </c>
      <c r="U37" s="393" t="e">
        <f>SUM(#REF!)</f>
        <v>#REF!</v>
      </c>
      <c r="V37" s="394"/>
      <c r="W37" s="393" t="e">
        <f>SUM(#REF!)</f>
        <v>#REF!</v>
      </c>
      <c r="X37" s="393" t="e">
        <f>SUM(#REF!)</f>
        <v>#REF!</v>
      </c>
      <c r="Y37" s="395"/>
      <c r="Z37" s="396" t="e">
        <f>SUM(#REF!)</f>
        <v>#REF!</v>
      </c>
      <c r="AA37" s="396" t="e">
        <f>SUM(#REF!)</f>
        <v>#REF!</v>
      </c>
      <c r="AB37" s="395" t="e">
        <f>AA37/Z37</f>
        <v>#REF!</v>
      </c>
      <c r="AC37" s="396" t="e">
        <f>SUM(#REF!)</f>
        <v>#REF!</v>
      </c>
      <c r="AD37" s="396" t="e">
        <f>SUM(#REF!)</f>
        <v>#REF!</v>
      </c>
      <c r="AE37" s="397" t="e">
        <f>AD37/AC37</f>
        <v>#REF!</v>
      </c>
      <c r="AF37" s="396">
        <v>253.644</v>
      </c>
      <c r="AG37" s="396">
        <f>72772/1000</f>
        <v>72.772</v>
      </c>
      <c r="AH37" s="397">
        <f>AG37/AF37</f>
        <v>0.28690605730866886</v>
      </c>
      <c r="AI37" s="396">
        <f>253643.63/1000</f>
        <v>253.64363</v>
      </c>
      <c r="AJ37" s="397">
        <f>+AI37/AF37</f>
        <v>0.9999985412625569</v>
      </c>
      <c r="AK37" s="396">
        <f>327332.83/1000</f>
        <v>327.33283</v>
      </c>
      <c r="AL37" s="396">
        <f>72772/1000</f>
        <v>72.772</v>
      </c>
      <c r="AM37" s="397">
        <f>AL37/AK37</f>
        <v>0.22231806079457414</v>
      </c>
      <c r="AN37" s="396">
        <f>327332.83/1000</f>
        <v>327.33283</v>
      </c>
      <c r="AO37" s="397">
        <f>+AN37/AK37</f>
        <v>1</v>
      </c>
      <c r="AP37" s="396">
        <f>261781.09/1000</f>
        <v>261.78109</v>
      </c>
      <c r="AQ37" s="396">
        <f>72772/1000</f>
        <v>72.772</v>
      </c>
      <c r="AR37" s="397">
        <f>AQ37/AP37</f>
        <v>0.2779879937087893</v>
      </c>
      <c r="AS37" s="396">
        <f>261730.31/1000</f>
        <v>261.73031</v>
      </c>
      <c r="AT37" s="397">
        <f>+AS37/AP37</f>
        <v>0.9998060211300975</v>
      </c>
      <c r="AU37" s="396">
        <f>729648.39/1000</f>
        <v>729.6483900000001</v>
      </c>
      <c r="AV37" s="396">
        <f>72772/1000</f>
        <v>72.772</v>
      </c>
      <c r="AW37" s="397">
        <f>AV37/AU37</f>
        <v>0.09973570968888179</v>
      </c>
      <c r="AX37" s="396">
        <f>729645.59/1000</f>
        <v>729.64559</v>
      </c>
      <c r="AY37" s="397">
        <f>+AX37/AU37</f>
        <v>0.9999961625352177</v>
      </c>
      <c r="AZ37" s="396">
        <f>494419.03/1000</f>
        <v>494.41903</v>
      </c>
      <c r="BA37" s="396">
        <f>72772/1000</f>
        <v>72.772</v>
      </c>
      <c r="BB37" s="397">
        <f>BA37/AZ37</f>
        <v>0.14718689124890683</v>
      </c>
      <c r="BC37" s="396">
        <f>494419.03/1000</f>
        <v>494.41903</v>
      </c>
      <c r="BD37" s="397">
        <f>+BC37/AZ37</f>
        <v>1</v>
      </c>
    </row>
    <row r="38" spans="1:56" s="317" customFormat="1" ht="31.5">
      <c r="A38" s="391" t="s">
        <v>549</v>
      </c>
      <c r="B38" s="392" t="s">
        <v>550</v>
      </c>
      <c r="C38" s="391">
        <v>320</v>
      </c>
      <c r="D38" s="391" t="s">
        <v>551</v>
      </c>
      <c r="E38" s="393">
        <v>0</v>
      </c>
      <c r="F38" s="393">
        <v>0</v>
      </c>
      <c r="G38" s="394"/>
      <c r="H38" s="393">
        <v>0</v>
      </c>
      <c r="I38" s="393">
        <v>0</v>
      </c>
      <c r="J38" s="394"/>
      <c r="K38" s="396">
        <v>0</v>
      </c>
      <c r="L38" s="396">
        <v>0</v>
      </c>
      <c r="M38" s="394"/>
      <c r="N38" s="396">
        <v>0.8</v>
      </c>
      <c r="O38" s="396">
        <v>0.8</v>
      </c>
      <c r="P38" s="394">
        <f>+O38/N38</f>
        <v>1</v>
      </c>
      <c r="Q38" s="396"/>
      <c r="R38" s="396"/>
      <c r="S38" s="394"/>
      <c r="T38" s="396"/>
      <c r="U38" s="396"/>
      <c r="V38" s="394"/>
      <c r="W38" s="396"/>
      <c r="X38" s="396"/>
      <c r="Y38" s="395"/>
      <c r="Z38" s="398"/>
      <c r="AA38" s="398"/>
      <c r="AB38" s="399"/>
      <c r="AC38" s="398"/>
      <c r="AD38" s="398"/>
      <c r="AE38" s="397"/>
      <c r="AF38" s="398"/>
      <c r="AG38" s="398"/>
      <c r="AH38" s="397"/>
      <c r="AI38" s="398"/>
      <c r="AJ38" s="397"/>
      <c r="AK38" s="398"/>
      <c r="AL38" s="398"/>
      <c r="AM38" s="397"/>
      <c r="AN38" s="398"/>
      <c r="AO38" s="397"/>
      <c r="AP38" s="398"/>
      <c r="AQ38" s="398"/>
      <c r="AR38" s="397"/>
      <c r="AS38" s="398"/>
      <c r="AT38" s="397"/>
      <c r="AU38" s="398"/>
      <c r="AV38" s="398"/>
      <c r="AW38" s="397"/>
      <c r="AX38" s="398"/>
      <c r="AY38" s="397"/>
      <c r="AZ38" s="398"/>
      <c r="BA38" s="398"/>
      <c r="BB38" s="397"/>
      <c r="BC38" s="398"/>
      <c r="BD38" s="397"/>
    </row>
    <row r="39" spans="1:56" s="317" customFormat="1" ht="31.5">
      <c r="A39" s="391" t="s">
        <v>552</v>
      </c>
      <c r="B39" s="392" t="s">
        <v>553</v>
      </c>
      <c r="C39" s="391">
        <v>340</v>
      </c>
      <c r="D39" s="391">
        <v>34000</v>
      </c>
      <c r="E39" s="393" t="e">
        <f>SUM(#REF!)</f>
        <v>#REF!</v>
      </c>
      <c r="F39" s="393" t="e">
        <f>SUM(#REF!)</f>
        <v>#REF!</v>
      </c>
      <c r="G39" s="394" t="e">
        <f>+F39/E39</f>
        <v>#REF!</v>
      </c>
      <c r="H39" s="393" t="e">
        <f>SUM(#REF!)</f>
        <v>#REF!</v>
      </c>
      <c r="I39" s="393" t="e">
        <f>SUM(#REF!)</f>
        <v>#REF!</v>
      </c>
      <c r="J39" s="394" t="e">
        <f>+I39/H39</f>
        <v>#REF!</v>
      </c>
      <c r="K39" s="393" t="e">
        <f>SUM(#REF!)</f>
        <v>#REF!</v>
      </c>
      <c r="L39" s="393" t="e">
        <f>SUM(#REF!)</f>
        <v>#REF!</v>
      </c>
      <c r="M39" s="394" t="e">
        <f>+L39/K39</f>
        <v>#REF!</v>
      </c>
      <c r="N39" s="393" t="e">
        <f>SUM(#REF!)</f>
        <v>#REF!</v>
      </c>
      <c r="O39" s="393" t="e">
        <f>SUM(#REF!)</f>
        <v>#REF!</v>
      </c>
      <c r="P39" s="394" t="e">
        <f>+O39/N39</f>
        <v>#REF!</v>
      </c>
      <c r="Q39" s="393" t="e">
        <f>SUM(#REF!)</f>
        <v>#REF!</v>
      </c>
      <c r="R39" s="393" t="e">
        <f>SUM(#REF!)</f>
        <v>#REF!</v>
      </c>
      <c r="S39" s="394" t="e">
        <f>+R39/Q39</f>
        <v>#REF!</v>
      </c>
      <c r="T39" s="393" t="e">
        <f>SUM(#REF!)</f>
        <v>#REF!</v>
      </c>
      <c r="U39" s="393" t="e">
        <f>SUM(#REF!)</f>
        <v>#REF!</v>
      </c>
      <c r="V39" s="394" t="e">
        <f>+U39/T39</f>
        <v>#REF!</v>
      </c>
      <c r="W39" s="393" t="e">
        <f>SUM(#REF!)</f>
        <v>#REF!</v>
      </c>
      <c r="X39" s="393" t="e">
        <f>SUM(#REF!)</f>
        <v>#REF!</v>
      </c>
      <c r="Y39" s="395" t="e">
        <f>+X39/W39</f>
        <v>#REF!</v>
      </c>
      <c r="Z39" s="396" t="e">
        <f>#REF!+#REF!</f>
        <v>#REF!</v>
      </c>
      <c r="AA39" s="396" t="e">
        <f>#REF!+#REF!</f>
        <v>#REF!</v>
      </c>
      <c r="AB39" s="395" t="e">
        <f>AA39/Z39</f>
        <v>#REF!</v>
      </c>
      <c r="AC39" s="396" t="e">
        <f>SUM(#REF!)</f>
        <v>#REF!</v>
      </c>
      <c r="AD39" s="396" t="e">
        <f>SUM(#REF!)</f>
        <v>#REF!</v>
      </c>
      <c r="AE39" s="397" t="e">
        <f>AD39/AC39</f>
        <v>#REF!</v>
      </c>
      <c r="AF39" s="396">
        <f>464421.65/1000</f>
        <v>464.42165</v>
      </c>
      <c r="AG39" s="396">
        <f>(244665.05+3245)/1000</f>
        <v>247.91004999999998</v>
      </c>
      <c r="AH39" s="397">
        <f>AG39/AF39</f>
        <v>0.5338038181467207</v>
      </c>
      <c r="AI39" s="396">
        <f>456165.59/1000</f>
        <v>456.16559</v>
      </c>
      <c r="AJ39" s="397">
        <f>+AI39/AF39</f>
        <v>0.9822229217780868</v>
      </c>
      <c r="AK39" s="396">
        <f>635866.29/1000</f>
        <v>635.86629</v>
      </c>
      <c r="AL39" s="396">
        <f>(244665.05+3245)/1000</f>
        <v>247.91004999999998</v>
      </c>
      <c r="AM39" s="397">
        <f>AL39/AK39</f>
        <v>0.38987764235779815</v>
      </c>
      <c r="AN39" s="396">
        <f>635866.28/1000</f>
        <v>635.8662800000001</v>
      </c>
      <c r="AO39" s="397">
        <f>+AN39/AK39</f>
        <v>0.9999999842734233</v>
      </c>
      <c r="AP39" s="396">
        <f>466710.53/1000</f>
        <v>466.71053</v>
      </c>
      <c r="AQ39" s="396">
        <f>(244665.05+3245)/1000</f>
        <v>247.91004999999998</v>
      </c>
      <c r="AR39" s="397">
        <f>AQ39/AP39</f>
        <v>0.5311858937487439</v>
      </c>
      <c r="AS39" s="396">
        <f>(163229.65+4350+294930.78+1200)/1000</f>
        <v>463.71043000000003</v>
      </c>
      <c r="AT39" s="397">
        <f>+AS39/AP39</f>
        <v>0.9935718184888608</v>
      </c>
      <c r="AU39" s="396">
        <f>917266.04/1000</f>
        <v>917.2660400000001</v>
      </c>
      <c r="AV39" s="396">
        <f>(244665.05+3245)/1000</f>
        <v>247.91004999999998</v>
      </c>
      <c r="AW39" s="397">
        <f>AV39/AU39</f>
        <v>0.27027060764181343</v>
      </c>
      <c r="AX39" s="396">
        <f>(175097.64+659131.04+65181)/1000</f>
        <v>899.4096800000001</v>
      </c>
      <c r="AY39" s="397">
        <f>+AX39/AU39</f>
        <v>0.9805330632321241</v>
      </c>
      <c r="AZ39" s="396">
        <f>933496.91/1000</f>
        <v>933.4969100000001</v>
      </c>
      <c r="BA39" s="396">
        <f>(244665.05+3245)/1000</f>
        <v>247.91004999999998</v>
      </c>
      <c r="BB39" s="397">
        <f>BA39/AZ39</f>
        <v>0.26557136648690133</v>
      </c>
      <c r="BC39" s="396">
        <f>933447.08/1000</f>
        <v>933.4470799999999</v>
      </c>
      <c r="BD39" s="397">
        <f>+BC39/AZ39</f>
        <v>0.9999466200696903</v>
      </c>
    </row>
    <row r="40" spans="1:56" ht="15.75">
      <c r="A40" s="101"/>
      <c r="B40" s="57" t="s">
        <v>554</v>
      </c>
      <c r="C40" s="101"/>
      <c r="D40" s="101"/>
      <c r="E40" s="234" t="e">
        <f>E8+E36</f>
        <v>#REF!</v>
      </c>
      <c r="F40" s="234" t="e">
        <f>F8+F36</f>
        <v>#REF!</v>
      </c>
      <c r="G40" s="232" t="e">
        <f>+F40/E40</f>
        <v>#REF!</v>
      </c>
      <c r="H40" s="234" t="e">
        <f>H8+H36</f>
        <v>#REF!</v>
      </c>
      <c r="I40" s="234" t="e">
        <f>I8+I36</f>
        <v>#REF!</v>
      </c>
      <c r="J40" s="232" t="e">
        <f>+I40/H40</f>
        <v>#REF!</v>
      </c>
      <c r="K40" s="234" t="e">
        <f>K8+K36</f>
        <v>#REF!</v>
      </c>
      <c r="L40" s="234" t="e">
        <f>L8+L36</f>
        <v>#REF!</v>
      </c>
      <c r="M40" s="232" t="e">
        <f>+L40/K40</f>
        <v>#REF!</v>
      </c>
      <c r="N40" s="234" t="e">
        <f>N8+N36</f>
        <v>#REF!</v>
      </c>
      <c r="O40" s="234" t="e">
        <f>O8+O36</f>
        <v>#REF!</v>
      </c>
      <c r="P40" s="232" t="e">
        <f>+O40/N40</f>
        <v>#REF!</v>
      </c>
      <c r="Q40" s="234" t="e">
        <f>Q8+Q36</f>
        <v>#REF!</v>
      </c>
      <c r="R40" s="234" t="e">
        <f>R8+R36</f>
        <v>#REF!</v>
      </c>
      <c r="S40" s="232" t="e">
        <f>+R40/Q40</f>
        <v>#REF!</v>
      </c>
      <c r="T40" s="234" t="e">
        <f>T8+T36</f>
        <v>#REF!</v>
      </c>
      <c r="U40" s="234" t="e">
        <f>U8+U36</f>
        <v>#REF!</v>
      </c>
      <c r="V40" s="232" t="e">
        <f>+U40/T40</f>
        <v>#REF!</v>
      </c>
      <c r="W40" s="234" t="e">
        <f>W8+W36</f>
        <v>#REF!</v>
      </c>
      <c r="X40" s="234" t="e">
        <f>X8+X36</f>
        <v>#REF!</v>
      </c>
      <c r="Y40" s="233" t="e">
        <f>+X40/W40</f>
        <v>#REF!</v>
      </c>
      <c r="Z40" s="234" t="e">
        <f>Z8+Z36</f>
        <v>#REF!</v>
      </c>
      <c r="AA40" s="234" t="e">
        <f>AA8+AA36</f>
        <v>#REF!</v>
      </c>
      <c r="AB40" s="233" t="e">
        <f>AA40/Z40</f>
        <v>#REF!</v>
      </c>
      <c r="AC40" s="234" t="e">
        <f>AC8+AC36</f>
        <v>#REF!</v>
      </c>
      <c r="AD40" s="234" t="e">
        <f>AD8+AD36</f>
        <v>#REF!</v>
      </c>
      <c r="AE40" s="235" t="e">
        <f>AD40/AC40</f>
        <v>#REF!</v>
      </c>
      <c r="AF40" s="234">
        <f>AF8+AF36</f>
        <v>533490.15763</v>
      </c>
      <c r="AG40" s="234" t="e">
        <f>AG8+AG36</f>
        <v>#REF!</v>
      </c>
      <c r="AH40" s="235" t="e">
        <f>AG40/AF40</f>
        <v>#REF!</v>
      </c>
      <c r="AI40" s="234">
        <f>AI8+AI36</f>
        <v>528118.8521100001</v>
      </c>
      <c r="AJ40" s="235">
        <f>+AI40/AF40</f>
        <v>0.9899317626704461</v>
      </c>
      <c r="AK40" s="234">
        <f>AK8+AK36</f>
        <v>686441.1800700001</v>
      </c>
      <c r="AL40" s="234" t="e">
        <f>AL8+AL36</f>
        <v>#REF!</v>
      </c>
      <c r="AM40" s="235" t="e">
        <f>AL40/AK40</f>
        <v>#REF!</v>
      </c>
      <c r="AN40" s="234">
        <f>AN8+AN36</f>
        <v>673489.5543099999</v>
      </c>
      <c r="AO40" s="235">
        <f>+AN40/AK40</f>
        <v>0.9811322133111544</v>
      </c>
      <c r="AP40" s="234">
        <f>AP8+AP36</f>
        <v>773290.9424810001</v>
      </c>
      <c r="AQ40" s="234" t="e">
        <f>AQ8+AQ36</f>
        <v>#REF!</v>
      </c>
      <c r="AR40" s="235" t="e">
        <f>AQ40/AP40</f>
        <v>#REF!</v>
      </c>
      <c r="AS40" s="234">
        <f>AS8+AS36</f>
        <v>760370.1847899999</v>
      </c>
      <c r="AT40" s="235">
        <f>+AS40/AP40</f>
        <v>0.9832912077703306</v>
      </c>
      <c r="AU40" s="234">
        <f>AU8+AU36</f>
        <v>837865.5106900001</v>
      </c>
      <c r="AV40" s="234" t="e">
        <f>AV8+AV36</f>
        <v>#REF!</v>
      </c>
      <c r="AW40" s="235" t="e">
        <f>AV40/AU40</f>
        <v>#REF!</v>
      </c>
      <c r="AX40" s="234">
        <f>AX8+AX36</f>
        <v>827491.3780499999</v>
      </c>
      <c r="AY40" s="235">
        <f>+AX40/AU40</f>
        <v>0.9876183796711516</v>
      </c>
      <c r="AZ40" s="234">
        <f>AZ8+AZ36</f>
        <v>711987.93762</v>
      </c>
      <c r="BA40" s="234" t="e">
        <f>BA8+BA36</f>
        <v>#REF!</v>
      </c>
      <c r="BB40" s="235" t="e">
        <f>BA40/AZ40</f>
        <v>#REF!</v>
      </c>
      <c r="BC40" s="234">
        <f>BC8+BC36</f>
        <v>687296.4516299999</v>
      </c>
      <c r="BD40" s="235">
        <f>+BC40/AZ40</f>
        <v>0.9653203591165637</v>
      </c>
    </row>
    <row r="41" spans="32:55" ht="15.75">
      <c r="AF41" s="249"/>
      <c r="AI41" s="249"/>
      <c r="AK41" s="249"/>
      <c r="AN41" s="249"/>
      <c r="AP41" s="249"/>
      <c r="AS41" s="249"/>
      <c r="AU41" s="249"/>
      <c r="AX41" s="249"/>
      <c r="AZ41" s="249"/>
      <c r="BC41" s="249"/>
    </row>
    <row r="42" spans="17:55" ht="15.75">
      <c r="Q42" s="249"/>
      <c r="R42" s="249"/>
      <c r="T42" s="249"/>
      <c r="U42" s="249"/>
      <c r="W42" s="249"/>
      <c r="X42" s="249"/>
      <c r="Z42" s="250"/>
      <c r="AA42" s="250"/>
      <c r="AC42" s="249">
        <f>504014770.33/1000</f>
        <v>504014.77032999997</v>
      </c>
      <c r="AD42" s="249">
        <f>488005250.23/1000</f>
        <v>488005.25023</v>
      </c>
      <c r="AF42" s="249"/>
      <c r="AG42" s="249"/>
      <c r="AK42" s="249"/>
      <c r="AL42" s="249"/>
      <c r="AN42" s="249"/>
      <c r="AP42" s="249"/>
      <c r="AQ42" s="249"/>
      <c r="AS42" s="249"/>
      <c r="AU42" s="249"/>
      <c r="AV42" s="249"/>
      <c r="AX42" s="249"/>
      <c r="AZ42" s="249"/>
      <c r="BA42" s="249"/>
      <c r="BC42" s="249"/>
    </row>
    <row r="43" spans="26:55" ht="15.75">
      <c r="Z43" s="249"/>
      <c r="AA43" s="250"/>
      <c r="AP43" s="249"/>
      <c r="AU43" s="249"/>
      <c r="AX43" s="249"/>
      <c r="AZ43" s="249"/>
      <c r="BC43" s="249"/>
    </row>
    <row r="44" spans="29:53" ht="15.75">
      <c r="AC44" s="249"/>
      <c r="AD44" s="249"/>
      <c r="AF44" s="249"/>
      <c r="AG44" s="249"/>
      <c r="AK44" s="249"/>
      <c r="AL44" s="249"/>
      <c r="AP44" s="249"/>
      <c r="AQ44" s="249"/>
      <c r="AU44" s="249"/>
      <c r="AV44" s="249"/>
      <c r="AZ44" s="249"/>
      <c r="BA44" s="249"/>
    </row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3" ht="15.75"/>
    <row r="394" ht="15.75"/>
    <row r="395" ht="15.75"/>
  </sheetData>
  <sheetProtection selectLockedCells="1" selectUnlockedCells="1"/>
  <mergeCells count="4">
    <mergeCell ref="A1:D1"/>
    <mergeCell ref="A2:D2"/>
    <mergeCell ref="A3:AH3"/>
    <mergeCell ref="A4:D4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V101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6.375" style="0" customWidth="1"/>
    <col min="2" max="2" width="17.375" style="0" customWidth="1"/>
    <col min="3" max="3" width="14.375" style="0" customWidth="1"/>
    <col min="4" max="4" width="36.625" style="0" customWidth="1"/>
    <col min="5" max="5" width="16.625" style="0" customWidth="1"/>
    <col min="6" max="7" width="11.625" style="0" customWidth="1"/>
    <col min="8" max="8" width="12.375" style="0" customWidth="1"/>
    <col min="9" max="9" width="11.375" style="0" customWidth="1"/>
    <col min="10" max="10" width="10.625" style="0" customWidth="1"/>
    <col min="11" max="11" width="15.625" style="0" customWidth="1"/>
  </cols>
  <sheetData>
    <row r="1" spans="1:22" ht="15.75">
      <c r="A1" s="15"/>
      <c r="B1" s="15"/>
      <c r="C1" s="15"/>
      <c r="D1" s="15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1:22" ht="18.75">
      <c r="A2" s="252"/>
      <c r="B2" s="438" t="s">
        <v>23</v>
      </c>
      <c r="C2" s="438"/>
      <c r="D2" s="438"/>
      <c r="E2" s="438"/>
      <c r="F2" s="438"/>
      <c r="G2" s="13"/>
      <c r="H2" s="13"/>
      <c r="I2" s="13"/>
      <c r="J2" s="13"/>
      <c r="K2" s="13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ht="18.75">
      <c r="A3" s="16"/>
      <c r="B3" s="459" t="s">
        <v>24</v>
      </c>
      <c r="C3" s="459"/>
      <c r="D3" s="459"/>
      <c r="E3" s="459"/>
      <c r="F3" s="459"/>
      <c r="G3" s="13"/>
      <c r="H3" s="13"/>
      <c r="I3" s="13"/>
      <c r="J3" s="13"/>
      <c r="K3" s="13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</row>
    <row r="4" spans="1:22" ht="18.75">
      <c r="A4" s="17"/>
      <c r="B4" s="17"/>
      <c r="C4" s="17"/>
      <c r="D4" s="17"/>
      <c r="E4" s="75"/>
      <c r="F4" s="5"/>
      <c r="G4" s="5"/>
      <c r="H4" s="5"/>
      <c r="I4" s="5"/>
      <c r="J4" s="5"/>
      <c r="K4" s="5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2" ht="15.7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</row>
    <row r="6" spans="1:22" ht="12.75" customHeight="1">
      <c r="A6" s="460" t="s">
        <v>555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</row>
    <row r="7" spans="1:22" ht="15">
      <c r="A7" s="253"/>
      <c r="B7" s="253"/>
      <c r="C7" s="254"/>
      <c r="D7" s="254"/>
      <c r="E7" s="254"/>
      <c r="F7" s="255"/>
      <c r="G7" s="142"/>
      <c r="H7" s="142"/>
      <c r="I7" s="142"/>
      <c r="J7" s="142"/>
      <c r="K7" s="142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</row>
    <row r="8" spans="1:22" ht="14.2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</row>
    <row r="9" spans="1:22" ht="12.75" customHeight="1">
      <c r="A9" s="458" t="s">
        <v>199</v>
      </c>
      <c r="B9" s="458" t="s">
        <v>556</v>
      </c>
      <c r="C9" s="458" t="s">
        <v>557</v>
      </c>
      <c r="D9" s="458" t="s">
        <v>558</v>
      </c>
      <c r="E9" s="458" t="s">
        <v>559</v>
      </c>
      <c r="F9" s="463" t="s">
        <v>560</v>
      </c>
      <c r="G9" s="463"/>
      <c r="H9" s="463"/>
      <c r="I9" s="463"/>
      <c r="J9" s="463"/>
      <c r="K9" s="458" t="s">
        <v>561</v>
      </c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</row>
    <row r="10" spans="1:22" ht="30" customHeight="1">
      <c r="A10" s="458"/>
      <c r="B10" s="458"/>
      <c r="C10" s="458"/>
      <c r="D10" s="458"/>
      <c r="E10" s="458"/>
      <c r="F10" s="258" t="s">
        <v>562</v>
      </c>
      <c r="G10" s="257" t="s">
        <v>563</v>
      </c>
      <c r="H10" s="257" t="s">
        <v>564</v>
      </c>
      <c r="I10" s="257" t="s">
        <v>565</v>
      </c>
      <c r="J10" s="257" t="s">
        <v>566</v>
      </c>
      <c r="K10" s="458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</row>
    <row r="11" spans="1:22" s="261" customFormat="1" ht="10.5" customHeight="1">
      <c r="A11" s="259">
        <v>1</v>
      </c>
      <c r="B11" s="260">
        <v>2</v>
      </c>
      <c r="C11" s="260">
        <v>3</v>
      </c>
      <c r="D11" s="259">
        <v>4</v>
      </c>
      <c r="E11" s="260">
        <v>5</v>
      </c>
      <c r="F11" s="260">
        <v>6</v>
      </c>
      <c r="G11" s="259">
        <v>7</v>
      </c>
      <c r="H11" s="260">
        <v>8</v>
      </c>
      <c r="I11" s="260">
        <v>9</v>
      </c>
      <c r="J11" s="259">
        <v>10</v>
      </c>
      <c r="K11" s="260">
        <v>11</v>
      </c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spans="1:22" s="142" customFormat="1" ht="38.25" customHeight="1">
      <c r="A12" s="461">
        <v>1</v>
      </c>
      <c r="B12" s="462" t="s">
        <v>567</v>
      </c>
      <c r="C12" s="462" t="s">
        <v>568</v>
      </c>
      <c r="D12" s="263" t="s">
        <v>569</v>
      </c>
      <c r="E12" s="264" t="s">
        <v>570</v>
      </c>
      <c r="F12" s="265">
        <v>24.99</v>
      </c>
      <c r="G12" s="266">
        <v>6222800</v>
      </c>
      <c r="H12" s="266" t="s">
        <v>571</v>
      </c>
      <c r="I12" s="266" t="s">
        <v>572</v>
      </c>
      <c r="J12" s="267">
        <v>22505</v>
      </c>
      <c r="K12" s="268" t="s">
        <v>573</v>
      </c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</row>
    <row r="13" spans="1:22" s="273" customFormat="1" ht="38.25" customHeight="1">
      <c r="A13" s="461"/>
      <c r="B13" s="462"/>
      <c r="C13" s="462"/>
      <c r="D13" s="263" t="s">
        <v>574</v>
      </c>
      <c r="E13" s="264" t="s">
        <v>570</v>
      </c>
      <c r="F13" s="270">
        <v>195</v>
      </c>
      <c r="G13" s="271" t="s">
        <v>575</v>
      </c>
      <c r="H13" s="271" t="s">
        <v>576</v>
      </c>
      <c r="I13" s="271" t="s">
        <v>577</v>
      </c>
      <c r="J13" s="272">
        <v>22606</v>
      </c>
      <c r="K13" s="268" t="s">
        <v>573</v>
      </c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</row>
    <row r="14" spans="1:22" ht="15.75">
      <c r="A14" s="138"/>
      <c r="B14" s="67"/>
      <c r="C14" s="138"/>
      <c r="D14" s="138"/>
      <c r="E14" s="274"/>
      <c r="F14" s="274"/>
      <c r="G14" s="275"/>
      <c r="H14" s="274"/>
      <c r="I14" s="274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</row>
    <row r="15" spans="1:22" ht="15.75">
      <c r="A15" s="15"/>
      <c r="B15" s="276"/>
      <c r="C15" s="15"/>
      <c r="D15" s="15"/>
      <c r="E15" s="274"/>
      <c r="F15" s="274"/>
      <c r="G15" s="275"/>
      <c r="H15" s="274"/>
      <c r="I15" s="274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</row>
    <row r="16" spans="1:22" ht="15.75">
      <c r="A16" s="138"/>
      <c r="B16" s="67"/>
      <c r="C16" s="138"/>
      <c r="D16" s="138"/>
      <c r="E16" s="274"/>
      <c r="F16" s="274"/>
      <c r="G16" s="274"/>
      <c r="H16" s="274"/>
      <c r="I16" s="274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</row>
    <row r="17" spans="1:22" ht="15.75">
      <c r="A17" s="138"/>
      <c r="B17" s="67"/>
      <c r="C17" s="138"/>
      <c r="D17" s="138"/>
      <c r="E17" s="274"/>
      <c r="F17" s="274"/>
      <c r="G17" s="275"/>
      <c r="H17" s="274"/>
      <c r="I17" s="274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</row>
    <row r="18" spans="1:22" ht="12.75" customHeight="1">
      <c r="A18" s="460" t="s">
        <v>578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</row>
    <row r="19" spans="1:22" ht="15">
      <c r="A19" s="253"/>
      <c r="B19" s="253"/>
      <c r="C19" s="254"/>
      <c r="D19" s="254"/>
      <c r="E19" s="254"/>
      <c r="F19" s="255"/>
      <c r="G19" s="142"/>
      <c r="H19" s="142"/>
      <c r="I19" s="142"/>
      <c r="J19" s="142"/>
      <c r="K19" s="142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</row>
    <row r="20" spans="1:22" ht="14.2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</row>
    <row r="21" spans="1:22" ht="12.75" customHeight="1">
      <c r="A21" s="458" t="s">
        <v>199</v>
      </c>
      <c r="B21" s="458" t="s">
        <v>556</v>
      </c>
      <c r="C21" s="458" t="s">
        <v>557</v>
      </c>
      <c r="D21" s="458" t="s">
        <v>558</v>
      </c>
      <c r="E21" s="458" t="s">
        <v>559</v>
      </c>
      <c r="F21" s="463" t="s">
        <v>560</v>
      </c>
      <c r="G21" s="463"/>
      <c r="H21" s="463"/>
      <c r="I21" s="463"/>
      <c r="J21" s="463"/>
      <c r="K21" s="458" t="s">
        <v>561</v>
      </c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</row>
    <row r="22" spans="1:22" ht="15">
      <c r="A22" s="458"/>
      <c r="B22" s="458"/>
      <c r="C22" s="458"/>
      <c r="D22" s="458"/>
      <c r="E22" s="458"/>
      <c r="F22" s="258" t="s">
        <v>562</v>
      </c>
      <c r="G22" s="257" t="s">
        <v>563</v>
      </c>
      <c r="H22" s="257" t="s">
        <v>564</v>
      </c>
      <c r="I22" s="257" t="s">
        <v>565</v>
      </c>
      <c r="J22" s="257" t="s">
        <v>566</v>
      </c>
      <c r="K22" s="458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</row>
    <row r="23" spans="1:22" ht="12.75">
      <c r="A23" s="259">
        <v>1</v>
      </c>
      <c r="B23" s="260">
        <v>2</v>
      </c>
      <c r="C23" s="260">
        <v>3</v>
      </c>
      <c r="D23" s="259">
        <v>4</v>
      </c>
      <c r="E23" s="260">
        <v>5</v>
      </c>
      <c r="F23" s="260">
        <v>6</v>
      </c>
      <c r="G23" s="259">
        <v>7</v>
      </c>
      <c r="H23" s="260">
        <v>8</v>
      </c>
      <c r="I23" s="260">
        <v>9</v>
      </c>
      <c r="J23" s="259">
        <v>10</v>
      </c>
      <c r="K23" s="260">
        <v>11</v>
      </c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</row>
    <row r="24" spans="1:22" ht="12.75">
      <c r="A24" s="461"/>
      <c r="B24" s="462"/>
      <c r="C24" s="462"/>
      <c r="D24" s="263"/>
      <c r="E24" s="264"/>
      <c r="F24" s="265"/>
      <c r="G24" s="266"/>
      <c r="H24" s="266"/>
      <c r="I24" s="266"/>
      <c r="J24" s="267"/>
      <c r="K24" s="268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</row>
    <row r="25" spans="1:22" ht="12.75">
      <c r="A25" s="461"/>
      <c r="B25" s="462"/>
      <c r="C25" s="462"/>
      <c r="D25" s="263"/>
      <c r="E25" s="264"/>
      <c r="F25" s="270"/>
      <c r="G25" s="271"/>
      <c r="H25" s="271"/>
      <c r="I25" s="271"/>
      <c r="J25" s="272"/>
      <c r="K25" s="268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</row>
    <row r="26" spans="1:22" ht="15.75">
      <c r="A26" s="138"/>
      <c r="B26" s="67"/>
      <c r="C26" s="138"/>
      <c r="D26" s="138"/>
      <c r="E26" s="274"/>
      <c r="F26" s="274"/>
      <c r="G26" s="275"/>
      <c r="H26" s="274"/>
      <c r="I26" s="274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</row>
    <row r="27" spans="1:22" ht="15.75">
      <c r="A27" s="15"/>
      <c r="B27" s="276"/>
      <c r="C27" s="15"/>
      <c r="D27" s="15"/>
      <c r="E27" s="277"/>
      <c r="F27" s="277"/>
      <c r="G27" s="277"/>
      <c r="H27" s="277"/>
      <c r="I27" s="277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</row>
    <row r="28" spans="1:22" ht="15.75">
      <c r="A28" s="138"/>
      <c r="B28" s="67"/>
      <c r="C28" s="138"/>
      <c r="D28" s="138"/>
      <c r="E28" s="274"/>
      <c r="F28" s="274"/>
      <c r="G28" s="274"/>
      <c r="H28" s="274"/>
      <c r="I28" s="274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</row>
    <row r="29" spans="1:22" ht="15.75">
      <c r="A29" s="138"/>
      <c r="B29" s="67"/>
      <c r="C29" s="138"/>
      <c r="D29" s="138"/>
      <c r="E29" s="274"/>
      <c r="F29" s="274"/>
      <c r="G29" s="274"/>
      <c r="H29" s="274"/>
      <c r="I29" s="274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</row>
    <row r="30" spans="1:22" ht="15.75">
      <c r="A30" s="138"/>
      <c r="B30" s="67"/>
      <c r="C30" s="138"/>
      <c r="D30" s="138"/>
      <c r="E30" s="274"/>
      <c r="F30" s="274"/>
      <c r="G30" s="274"/>
      <c r="H30" s="274"/>
      <c r="I30" s="274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</row>
    <row r="31" spans="1:22" ht="15.75">
      <c r="A31" s="138"/>
      <c r="B31" s="67"/>
      <c r="C31" s="138"/>
      <c r="D31" s="138"/>
      <c r="E31" s="274"/>
      <c r="F31" s="274"/>
      <c r="G31" s="274"/>
      <c r="H31" s="274"/>
      <c r="I31" s="274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</row>
    <row r="32" spans="1:22" ht="15.75">
      <c r="A32" s="15"/>
      <c r="B32" s="276"/>
      <c r="C32" s="15"/>
      <c r="D32" s="15"/>
      <c r="E32" s="277"/>
      <c r="F32" s="277"/>
      <c r="G32" s="277"/>
      <c r="H32" s="277"/>
      <c r="I32" s="277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</row>
    <row r="33" spans="1:22" ht="15.75">
      <c r="A33" s="138"/>
      <c r="B33" s="67"/>
      <c r="C33" s="138"/>
      <c r="D33" s="138"/>
      <c r="E33" s="274"/>
      <c r="F33" s="274"/>
      <c r="G33" s="275"/>
      <c r="H33" s="274"/>
      <c r="I33" s="274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</row>
    <row r="34" spans="1:22" ht="15.75">
      <c r="A34" s="138"/>
      <c r="B34" s="67"/>
      <c r="C34" s="138"/>
      <c r="D34" s="138"/>
      <c r="E34" s="274"/>
      <c r="F34" s="274"/>
      <c r="G34" s="275"/>
      <c r="H34" s="274"/>
      <c r="I34" s="274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</row>
    <row r="35" spans="1:22" ht="15.75">
      <c r="A35" s="138"/>
      <c r="B35" s="67"/>
      <c r="C35" s="138"/>
      <c r="D35" s="138"/>
      <c r="E35" s="274"/>
      <c r="F35" s="274"/>
      <c r="G35" s="275"/>
      <c r="H35" s="274"/>
      <c r="I35" s="274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</row>
    <row r="36" spans="1:22" ht="15.75">
      <c r="A36" s="138"/>
      <c r="B36" s="67"/>
      <c r="C36" s="138"/>
      <c r="D36" s="138"/>
      <c r="E36" s="274"/>
      <c r="F36" s="274"/>
      <c r="G36" s="275"/>
      <c r="H36" s="274"/>
      <c r="I36" s="274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</row>
    <row r="37" spans="1:22" ht="15.75">
      <c r="A37" s="138"/>
      <c r="B37" s="67"/>
      <c r="C37" s="138"/>
      <c r="D37" s="138"/>
      <c r="E37" s="274"/>
      <c r="F37" s="274"/>
      <c r="G37" s="275"/>
      <c r="H37" s="274"/>
      <c r="I37" s="274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</row>
    <row r="38" spans="1:22" ht="15.75">
      <c r="A38" s="15"/>
      <c r="B38" s="276"/>
      <c r="C38" s="15"/>
      <c r="D38" s="15"/>
      <c r="E38" s="277"/>
      <c r="F38" s="277"/>
      <c r="G38" s="277"/>
      <c r="H38" s="277"/>
      <c r="I38" s="277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</row>
    <row r="39" spans="1:22" ht="15.75">
      <c r="A39" s="138"/>
      <c r="B39" s="67"/>
      <c r="C39" s="138"/>
      <c r="D39" s="138"/>
      <c r="E39" s="274"/>
      <c r="F39" s="274"/>
      <c r="G39" s="274"/>
      <c r="H39" s="274"/>
      <c r="I39" s="274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</row>
    <row r="40" spans="1:22" ht="15.75">
      <c r="A40" s="138"/>
      <c r="B40" s="67"/>
      <c r="C40" s="138"/>
      <c r="D40" s="138"/>
      <c r="E40" s="274"/>
      <c r="F40" s="274"/>
      <c r="G40" s="274"/>
      <c r="H40" s="274"/>
      <c r="I40" s="274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</row>
    <row r="41" spans="1:22" ht="15.75">
      <c r="A41" s="138"/>
      <c r="B41" s="67"/>
      <c r="C41" s="138"/>
      <c r="D41" s="138"/>
      <c r="E41" s="274"/>
      <c r="F41" s="274"/>
      <c r="G41" s="274"/>
      <c r="H41" s="274"/>
      <c r="I41" s="274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</row>
    <row r="42" spans="1:22" ht="15.75">
      <c r="A42" s="138"/>
      <c r="B42" s="67"/>
      <c r="C42" s="138"/>
      <c r="D42" s="138"/>
      <c r="E42" s="274"/>
      <c r="F42" s="274"/>
      <c r="G42" s="275"/>
      <c r="H42" s="274"/>
      <c r="I42" s="274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</row>
    <row r="43" spans="1:22" ht="15.75">
      <c r="A43" s="138"/>
      <c r="B43" s="67"/>
      <c r="C43" s="138"/>
      <c r="D43" s="138"/>
      <c r="E43" s="274"/>
      <c r="F43" s="274"/>
      <c r="G43" s="275"/>
      <c r="H43" s="274"/>
      <c r="I43" s="274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</row>
    <row r="44" spans="1:22" ht="15.75">
      <c r="A44" s="138"/>
      <c r="B44" s="67"/>
      <c r="C44" s="138"/>
      <c r="D44" s="138"/>
      <c r="E44" s="274"/>
      <c r="F44" s="274"/>
      <c r="G44" s="275"/>
      <c r="H44" s="274"/>
      <c r="I44" s="274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</row>
    <row r="45" spans="1:22" ht="15.75">
      <c r="A45" s="138"/>
      <c r="B45" s="67"/>
      <c r="C45" s="138"/>
      <c r="D45" s="138"/>
      <c r="E45" s="274"/>
      <c r="F45" s="274"/>
      <c r="G45" s="275"/>
      <c r="H45" s="274"/>
      <c r="I45" s="274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</row>
    <row r="46" spans="1:22" ht="15.75">
      <c r="A46" s="138"/>
      <c r="B46" s="67"/>
      <c r="C46" s="138"/>
      <c r="D46" s="138"/>
      <c r="E46" s="274"/>
      <c r="F46" s="274"/>
      <c r="G46" s="275"/>
      <c r="H46" s="274"/>
      <c r="I46" s="274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</row>
    <row r="47" spans="1:22" ht="15.75">
      <c r="A47" s="138"/>
      <c r="B47" s="67"/>
      <c r="C47" s="138"/>
      <c r="D47" s="138"/>
      <c r="E47" s="274"/>
      <c r="F47" s="274"/>
      <c r="G47" s="275"/>
      <c r="H47" s="274"/>
      <c r="I47" s="274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</row>
    <row r="48" spans="1:22" ht="15.75">
      <c r="A48" s="138"/>
      <c r="B48" s="67"/>
      <c r="C48" s="138"/>
      <c r="D48" s="138"/>
      <c r="E48" s="274"/>
      <c r="F48" s="274"/>
      <c r="G48" s="275"/>
      <c r="H48" s="274"/>
      <c r="I48" s="274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</row>
    <row r="49" spans="1:22" ht="15.75">
      <c r="A49" s="15"/>
      <c r="B49" s="276"/>
      <c r="C49" s="15"/>
      <c r="D49" s="15"/>
      <c r="E49" s="277"/>
      <c r="F49" s="277"/>
      <c r="G49" s="277"/>
      <c r="H49" s="277"/>
      <c r="I49" s="277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</row>
    <row r="50" spans="1:22" ht="15.75">
      <c r="A50" s="15"/>
      <c r="B50" s="276"/>
      <c r="C50" s="15"/>
      <c r="D50" s="15"/>
      <c r="E50" s="274"/>
      <c r="F50" s="274"/>
      <c r="G50" s="274"/>
      <c r="H50" s="274"/>
      <c r="I50" s="274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</row>
    <row r="51" spans="1:22" ht="15.75">
      <c r="A51" s="15"/>
      <c r="B51" s="276"/>
      <c r="C51" s="15"/>
      <c r="D51" s="15"/>
      <c r="E51" s="274"/>
      <c r="F51" s="274"/>
      <c r="G51" s="274"/>
      <c r="H51" s="274"/>
      <c r="I51" s="274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</row>
    <row r="52" spans="1:22" ht="15.75">
      <c r="A52" s="15"/>
      <c r="B52" s="276"/>
      <c r="C52" s="15"/>
      <c r="D52" s="15"/>
      <c r="E52" s="277"/>
      <c r="F52" s="277"/>
      <c r="G52" s="277"/>
      <c r="H52" s="277"/>
      <c r="I52" s="277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</row>
    <row r="53" spans="1:22" ht="15.75">
      <c r="A53" s="15"/>
      <c r="B53" s="276"/>
      <c r="C53" s="15"/>
      <c r="D53" s="15"/>
      <c r="E53" s="274"/>
      <c r="F53" s="274"/>
      <c r="G53" s="274"/>
      <c r="H53" s="274"/>
      <c r="I53" s="274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</row>
    <row r="54" spans="1:22" ht="15.75">
      <c r="A54" s="15"/>
      <c r="B54" s="276"/>
      <c r="C54" s="15"/>
      <c r="D54" s="15"/>
      <c r="E54" s="274"/>
      <c r="F54" s="274"/>
      <c r="G54" s="274"/>
      <c r="H54" s="274"/>
      <c r="I54" s="274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</row>
    <row r="55" spans="1:22" ht="15.75">
      <c r="A55" s="278"/>
      <c r="B55" s="276"/>
      <c r="C55" s="15"/>
      <c r="D55" s="15"/>
      <c r="E55" s="277"/>
      <c r="F55" s="277"/>
      <c r="G55" s="277"/>
      <c r="H55" s="277"/>
      <c r="I55" s="277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</row>
    <row r="56" spans="1:22" ht="15.75">
      <c r="A56" s="15"/>
      <c r="B56" s="276"/>
      <c r="C56" s="15"/>
      <c r="D56" s="15"/>
      <c r="E56" s="274"/>
      <c r="F56" s="274"/>
      <c r="G56" s="274"/>
      <c r="H56" s="274"/>
      <c r="I56" s="274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</row>
    <row r="57" spans="1:22" ht="15.75">
      <c r="A57" s="15"/>
      <c r="B57" s="276"/>
      <c r="C57" s="15"/>
      <c r="D57" s="15"/>
      <c r="E57" s="274"/>
      <c r="F57" s="274"/>
      <c r="G57" s="274"/>
      <c r="H57" s="274"/>
      <c r="I57" s="274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</row>
    <row r="58" spans="1:22" ht="15.75">
      <c r="A58" s="15"/>
      <c r="B58" s="276"/>
      <c r="C58" s="15"/>
      <c r="D58" s="15"/>
      <c r="E58" s="274"/>
      <c r="F58" s="274"/>
      <c r="G58" s="274"/>
      <c r="H58" s="274"/>
      <c r="I58" s="274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</row>
    <row r="59" spans="1:22" ht="15.75">
      <c r="A59" s="15"/>
      <c r="B59" s="276"/>
      <c r="C59" s="15"/>
      <c r="D59" s="15"/>
      <c r="E59" s="277"/>
      <c r="F59" s="277"/>
      <c r="G59" s="277"/>
      <c r="H59" s="277"/>
      <c r="I59" s="277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</row>
    <row r="60" spans="1:22" ht="15.75">
      <c r="A60" s="15"/>
      <c r="B60" s="276"/>
      <c r="C60" s="15"/>
      <c r="D60" s="15"/>
      <c r="E60" s="274"/>
      <c r="F60" s="274"/>
      <c r="G60" s="274"/>
      <c r="H60" s="274"/>
      <c r="I60" s="274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</row>
    <row r="61" spans="1:22" ht="15.75">
      <c r="A61" s="15"/>
      <c r="B61" s="276"/>
      <c r="C61" s="15"/>
      <c r="D61" s="15"/>
      <c r="E61" s="274"/>
      <c r="F61" s="274"/>
      <c r="G61" s="274"/>
      <c r="H61" s="274"/>
      <c r="I61" s="274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</row>
    <row r="62" spans="1:22" ht="15.75">
      <c r="A62" s="138"/>
      <c r="B62" s="67"/>
      <c r="C62" s="138"/>
      <c r="D62" s="138"/>
      <c r="E62" s="274"/>
      <c r="F62" s="274"/>
      <c r="G62" s="275"/>
      <c r="H62" s="274"/>
      <c r="I62" s="274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</row>
    <row r="63" spans="1:22" ht="15.75">
      <c r="A63" s="15"/>
      <c r="B63" s="276"/>
      <c r="C63" s="15"/>
      <c r="D63" s="15"/>
      <c r="E63" s="274"/>
      <c r="F63" s="274"/>
      <c r="G63" s="274"/>
      <c r="H63" s="274"/>
      <c r="I63" s="274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</row>
    <row r="64" spans="1:22" ht="15.75">
      <c r="A64" s="15"/>
      <c r="B64" s="276"/>
      <c r="C64" s="15"/>
      <c r="D64" s="15"/>
      <c r="E64" s="277"/>
      <c r="F64" s="277"/>
      <c r="G64" s="277"/>
      <c r="H64" s="277"/>
      <c r="I64" s="277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</row>
    <row r="65" spans="1:22" ht="15.75">
      <c r="A65" s="138"/>
      <c r="B65" s="67"/>
      <c r="C65" s="138"/>
      <c r="D65" s="138"/>
      <c r="E65" s="274"/>
      <c r="F65" s="274"/>
      <c r="G65" s="275"/>
      <c r="H65" s="274"/>
      <c r="I65" s="274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</row>
    <row r="66" spans="1:22" ht="15.75">
      <c r="A66" s="138"/>
      <c r="B66" s="67"/>
      <c r="C66" s="138"/>
      <c r="D66" s="138"/>
      <c r="E66" s="274"/>
      <c r="F66" s="274"/>
      <c r="G66" s="275"/>
      <c r="H66" s="274"/>
      <c r="I66" s="274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</row>
    <row r="67" spans="1:22" ht="15.75">
      <c r="A67" s="138"/>
      <c r="B67" s="67"/>
      <c r="C67" s="138"/>
      <c r="D67" s="138"/>
      <c r="E67" s="274"/>
      <c r="F67" s="274"/>
      <c r="G67" s="275"/>
      <c r="H67" s="274"/>
      <c r="I67" s="274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</row>
    <row r="68" spans="1:22" ht="15.75">
      <c r="A68" s="138"/>
      <c r="B68" s="67"/>
      <c r="C68" s="138"/>
      <c r="D68" s="138"/>
      <c r="E68" s="274"/>
      <c r="F68" s="274"/>
      <c r="G68" s="275"/>
      <c r="H68" s="274"/>
      <c r="I68" s="274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</row>
    <row r="69" spans="1:22" ht="15.75">
      <c r="A69" s="138"/>
      <c r="B69" s="67"/>
      <c r="C69" s="138"/>
      <c r="D69" s="138"/>
      <c r="E69" s="274"/>
      <c r="F69" s="274"/>
      <c r="G69" s="275"/>
      <c r="H69" s="274"/>
      <c r="I69" s="274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</row>
    <row r="70" spans="1:22" ht="15.75">
      <c r="A70" s="138"/>
      <c r="B70" s="67"/>
      <c r="C70" s="138"/>
      <c r="D70" s="138"/>
      <c r="E70" s="274"/>
      <c r="F70" s="274"/>
      <c r="G70" s="275"/>
      <c r="H70" s="274"/>
      <c r="I70" s="274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</row>
    <row r="71" spans="1:22" ht="15.75">
      <c r="A71" s="15"/>
      <c r="B71" s="276"/>
      <c r="C71" s="15"/>
      <c r="D71" s="15"/>
      <c r="E71" s="279"/>
      <c r="F71" s="279"/>
      <c r="G71" s="279"/>
      <c r="H71" s="279"/>
      <c r="I71" s="279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</row>
    <row r="72" spans="1:22" ht="15.75">
      <c r="A72" s="15"/>
      <c r="B72" s="276"/>
      <c r="C72" s="15"/>
      <c r="D72" s="15"/>
      <c r="E72" s="277"/>
      <c r="F72" s="277"/>
      <c r="G72" s="277"/>
      <c r="H72" s="277"/>
      <c r="I72" s="277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</row>
    <row r="73" spans="1:22" ht="15.75">
      <c r="A73" s="138"/>
      <c r="B73" s="67"/>
      <c r="C73" s="138"/>
      <c r="D73" s="138"/>
      <c r="E73" s="274"/>
      <c r="F73" s="274"/>
      <c r="G73" s="274"/>
      <c r="H73" s="274"/>
      <c r="I73" s="274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</row>
    <row r="74" spans="1:22" ht="15.75">
      <c r="A74" s="138"/>
      <c r="B74" s="67"/>
      <c r="C74" s="138"/>
      <c r="D74" s="138"/>
      <c r="E74" s="274"/>
      <c r="F74" s="274"/>
      <c r="G74" s="274"/>
      <c r="H74" s="274"/>
      <c r="I74" s="274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</row>
    <row r="75" spans="1:22" ht="15.75">
      <c r="A75" s="138"/>
      <c r="B75" s="67"/>
      <c r="C75" s="138"/>
      <c r="D75" s="138"/>
      <c r="E75" s="274"/>
      <c r="F75" s="274"/>
      <c r="G75" s="274"/>
      <c r="H75" s="274"/>
      <c r="I75" s="274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</row>
    <row r="76" spans="1:22" ht="15.75">
      <c r="A76" s="138"/>
      <c r="B76" s="67"/>
      <c r="C76" s="138"/>
      <c r="D76" s="138"/>
      <c r="E76" s="274"/>
      <c r="F76" s="274"/>
      <c r="G76" s="274"/>
      <c r="H76" s="274"/>
      <c r="I76" s="274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</row>
    <row r="77" spans="1:22" ht="15.75">
      <c r="A77" s="138"/>
      <c r="B77" s="67"/>
      <c r="C77" s="138"/>
      <c r="D77" s="138"/>
      <c r="E77" s="274"/>
      <c r="F77" s="274"/>
      <c r="G77" s="274"/>
      <c r="H77" s="274"/>
      <c r="I77" s="274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</row>
    <row r="78" spans="1:22" ht="15.75">
      <c r="A78" s="138"/>
      <c r="B78" s="67"/>
      <c r="C78" s="138"/>
      <c r="D78" s="138"/>
      <c r="E78" s="274"/>
      <c r="F78" s="274"/>
      <c r="G78" s="274"/>
      <c r="H78" s="274"/>
      <c r="I78" s="274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</row>
    <row r="79" spans="1:22" ht="15.75">
      <c r="A79" s="280"/>
      <c r="B79" s="67"/>
      <c r="C79" s="138"/>
      <c r="D79" s="138"/>
      <c r="E79" s="274"/>
      <c r="F79" s="274"/>
      <c r="G79" s="274"/>
      <c r="H79" s="274"/>
      <c r="I79" s="274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</row>
    <row r="80" spans="1:22" ht="15.75">
      <c r="A80" s="138"/>
      <c r="B80" s="67"/>
      <c r="C80" s="138"/>
      <c r="D80" s="138"/>
      <c r="E80" s="274"/>
      <c r="F80" s="274"/>
      <c r="G80" s="274"/>
      <c r="H80" s="274"/>
      <c r="I80" s="274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</row>
    <row r="81" spans="1:22" ht="15.75">
      <c r="A81" s="15"/>
      <c r="B81" s="276"/>
      <c r="C81" s="15"/>
      <c r="D81" s="15"/>
      <c r="E81" s="277"/>
      <c r="F81" s="277"/>
      <c r="G81" s="277"/>
      <c r="H81" s="277"/>
      <c r="I81" s="277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</row>
    <row r="82" spans="1:22" ht="15.75">
      <c r="A82" s="15"/>
      <c r="B82" s="276"/>
      <c r="C82" s="15"/>
      <c r="D82" s="15"/>
      <c r="E82" s="277"/>
      <c r="F82" s="277"/>
      <c r="G82" s="277"/>
      <c r="H82" s="277"/>
      <c r="I82" s="277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</row>
    <row r="83" spans="1:22" ht="15.75">
      <c r="A83" s="138"/>
      <c r="B83" s="67"/>
      <c r="C83" s="138"/>
      <c r="D83" s="138"/>
      <c r="E83" s="274"/>
      <c r="F83" s="274"/>
      <c r="G83" s="275"/>
      <c r="H83" s="274"/>
      <c r="I83" s="274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</row>
    <row r="84" spans="1:22" ht="15.75">
      <c r="A84" s="138"/>
      <c r="B84" s="67"/>
      <c r="C84" s="138"/>
      <c r="D84" s="138"/>
      <c r="E84" s="274"/>
      <c r="F84" s="274"/>
      <c r="G84" s="275"/>
      <c r="H84" s="274"/>
      <c r="I84" s="274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</row>
    <row r="85" spans="1:22" ht="15.75">
      <c r="A85" s="138"/>
      <c r="B85" s="67"/>
      <c r="C85" s="138"/>
      <c r="D85" s="138"/>
      <c r="E85" s="274"/>
      <c r="F85" s="274"/>
      <c r="G85" s="275"/>
      <c r="H85" s="274"/>
      <c r="I85" s="274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</row>
    <row r="86" spans="1:22" ht="15.75">
      <c r="A86" s="138"/>
      <c r="B86" s="67"/>
      <c r="C86" s="138"/>
      <c r="D86" s="138"/>
      <c r="E86" s="274"/>
      <c r="F86" s="274"/>
      <c r="G86" s="275"/>
      <c r="H86" s="274"/>
      <c r="I86" s="274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</row>
    <row r="87" spans="1:22" ht="15.75">
      <c r="A87" s="138"/>
      <c r="B87" s="67"/>
      <c r="C87" s="138"/>
      <c r="D87" s="138"/>
      <c r="E87" s="274"/>
      <c r="F87" s="274"/>
      <c r="G87" s="275"/>
      <c r="H87" s="274"/>
      <c r="I87" s="27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</row>
    <row r="88" spans="1:22" ht="15.75">
      <c r="A88" s="138"/>
      <c r="B88" s="67"/>
      <c r="C88" s="138"/>
      <c r="D88" s="138"/>
      <c r="E88" s="274"/>
      <c r="F88" s="274"/>
      <c r="G88" s="275"/>
      <c r="H88" s="274"/>
      <c r="I88" s="274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</row>
    <row r="89" spans="1:22" ht="15.75">
      <c r="A89" s="138"/>
      <c r="B89" s="67"/>
      <c r="C89" s="138"/>
      <c r="D89" s="138"/>
      <c r="E89" s="274"/>
      <c r="F89" s="274"/>
      <c r="G89" s="275"/>
      <c r="H89" s="274"/>
      <c r="I89" s="274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</row>
    <row r="90" spans="1:22" ht="15.75">
      <c r="A90" s="15"/>
      <c r="B90" s="276"/>
      <c r="C90" s="15"/>
      <c r="D90" s="15"/>
      <c r="E90" s="279"/>
      <c r="F90" s="279"/>
      <c r="G90" s="279"/>
      <c r="H90" s="279"/>
      <c r="I90" s="279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</row>
    <row r="91" spans="1:22" ht="12.75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</row>
    <row r="92" spans="1:22" ht="12.75">
      <c r="A92" s="251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</row>
    <row r="93" spans="1:22" ht="12.75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</row>
    <row r="94" spans="1:22" ht="12.75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</row>
    <row r="95" spans="1:22" ht="12.75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</row>
    <row r="96" spans="1:22" ht="12.75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</row>
    <row r="97" spans="1:22" ht="12.75">
      <c r="A97" s="25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</row>
    <row r="98" spans="1:22" ht="12.75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</row>
    <row r="99" spans="1:22" ht="12.75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</row>
    <row r="100" spans="1:22" ht="12.75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</row>
    <row r="101" spans="1:22" ht="12.75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</row>
  </sheetData>
  <sheetProtection selectLockedCells="1" selectUnlockedCells="1"/>
  <mergeCells count="24">
    <mergeCell ref="F9:J9"/>
    <mergeCell ref="K9:K10"/>
    <mergeCell ref="F21:J21"/>
    <mergeCell ref="K21:K22"/>
    <mergeCell ref="A24:A25"/>
    <mergeCell ref="B24:B25"/>
    <mergeCell ref="C24:C25"/>
    <mergeCell ref="A12:A13"/>
    <mergeCell ref="B12:B13"/>
    <mergeCell ref="C12:C13"/>
    <mergeCell ref="A18:K18"/>
    <mergeCell ref="A21:A22"/>
    <mergeCell ref="B21:B22"/>
    <mergeCell ref="C21:C22"/>
    <mergeCell ref="D21:D22"/>
    <mergeCell ref="E21:E22"/>
    <mergeCell ref="B2:F2"/>
    <mergeCell ref="B3:F3"/>
    <mergeCell ref="A6:K6"/>
    <mergeCell ref="A9:A10"/>
    <mergeCell ref="B9:B10"/>
    <mergeCell ref="C9:C10"/>
    <mergeCell ref="D9:D10"/>
    <mergeCell ref="E9:E10"/>
  </mergeCells>
  <printOptions/>
  <pageMargins left="0.7875" right="0.5902777777777778" top="0.5902777777777778" bottom="0.590277777777777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IV77"/>
  <sheetViews>
    <sheetView zoomScalePageLayoutView="0" workbookViewId="0" topLeftCell="A40">
      <selection activeCell="G73" sqref="G73"/>
    </sheetView>
  </sheetViews>
  <sheetFormatPr defaultColWidth="9.375" defaultRowHeight="12.75"/>
  <cols>
    <col min="1" max="1" width="11.375" style="13" customWidth="1"/>
    <col min="2" max="2" width="43.625" style="13" customWidth="1"/>
    <col min="3" max="3" width="34.625" style="13" customWidth="1"/>
    <col min="4" max="4" width="6.375" style="13" customWidth="1"/>
    <col min="5" max="5" width="5.625" style="13" customWidth="1"/>
    <col min="6" max="6" width="6.375" style="13" customWidth="1"/>
    <col min="7" max="16384" width="9.375" style="13" customWidth="1"/>
  </cols>
  <sheetData>
    <row r="1" spans="1:5" ht="8.25" customHeight="1">
      <c r="A1" s="417"/>
      <c r="B1" s="417"/>
      <c r="C1" s="417"/>
      <c r="D1" s="417"/>
      <c r="E1" s="14"/>
    </row>
    <row r="2" spans="1:5" ht="15.75" hidden="1">
      <c r="A2" s="417"/>
      <c r="B2" s="417"/>
      <c r="C2" s="417"/>
      <c r="D2" s="417"/>
      <c r="E2" s="14"/>
    </row>
    <row r="3" spans="1:5" s="5" customFormat="1" ht="15" customHeight="1" hidden="1">
      <c r="A3" s="418"/>
      <c r="B3" s="418"/>
      <c r="C3" s="418"/>
      <c r="D3" s="418"/>
      <c r="E3" s="8"/>
    </row>
    <row r="4" spans="1:5" ht="6.75" customHeight="1">
      <c r="A4" s="14"/>
      <c r="B4" s="14"/>
      <c r="C4" s="14"/>
      <c r="D4" s="14"/>
      <c r="E4" s="14"/>
    </row>
    <row r="5" spans="1:5" ht="15.75">
      <c r="A5" s="15"/>
      <c r="B5" s="419"/>
      <c r="C5" s="419"/>
      <c r="D5" s="14"/>
      <c r="E5" s="14"/>
    </row>
    <row r="6" spans="1:5" ht="18.75" customHeight="1">
      <c r="A6" s="420" t="s">
        <v>23</v>
      </c>
      <c r="B6" s="420"/>
      <c r="C6" s="420"/>
      <c r="D6" s="420"/>
      <c r="E6" s="14"/>
    </row>
    <row r="7" spans="1:5" ht="12.75" customHeight="1">
      <c r="A7" s="16"/>
      <c r="B7" s="421" t="s">
        <v>24</v>
      </c>
      <c r="C7" s="421"/>
      <c r="D7" s="14"/>
      <c r="E7" s="14"/>
    </row>
    <row r="8" spans="1:5" ht="18.75">
      <c r="A8" s="17"/>
      <c r="B8" s="17"/>
      <c r="C8" s="17"/>
      <c r="D8" s="14"/>
      <c r="E8" s="14"/>
    </row>
    <row r="9" spans="1:5" ht="15.75">
      <c r="A9" s="18"/>
      <c r="D9" s="14"/>
      <c r="E9" s="14"/>
    </row>
    <row r="10" spans="1:5" ht="18.75">
      <c r="A10" s="19" t="s">
        <v>3</v>
      </c>
      <c r="B10" s="424" t="s">
        <v>4</v>
      </c>
      <c r="C10" s="424"/>
      <c r="D10" s="14"/>
      <c r="E10" s="14"/>
    </row>
    <row r="11" spans="1:5" ht="15.75">
      <c r="A11" s="20"/>
      <c r="B11" s="21"/>
      <c r="C11" s="22"/>
      <c r="D11" s="14"/>
      <c r="E11" s="14"/>
    </row>
    <row r="12" spans="1:5" ht="12.75" customHeight="1">
      <c r="A12" s="23"/>
      <c r="B12" s="425" t="s">
        <v>25</v>
      </c>
      <c r="C12" s="425"/>
      <c r="D12" s="14"/>
      <c r="E12" s="14"/>
    </row>
    <row r="13" spans="1:5" ht="42.75" customHeight="1">
      <c r="A13" s="24"/>
      <c r="B13" s="426" t="s">
        <v>1</v>
      </c>
      <c r="C13" s="426"/>
      <c r="D13" s="14"/>
      <c r="E13" s="14"/>
    </row>
    <row r="14" spans="1:5" ht="15.75">
      <c r="A14" s="26"/>
      <c r="B14" s="422" t="s">
        <v>26</v>
      </c>
      <c r="C14" s="422"/>
      <c r="D14" s="14"/>
      <c r="E14" s="14"/>
    </row>
    <row r="15" spans="1:5" ht="48" customHeight="1">
      <c r="A15" s="27"/>
      <c r="B15" s="426" t="s">
        <v>27</v>
      </c>
      <c r="C15" s="426"/>
      <c r="D15" s="14"/>
      <c r="E15" s="14"/>
    </row>
    <row r="16" spans="1:5" ht="47.25">
      <c r="A16" s="23"/>
      <c r="B16" s="28" t="s">
        <v>28</v>
      </c>
      <c r="C16" s="25" t="s">
        <v>29</v>
      </c>
      <c r="D16" s="14"/>
      <c r="E16" s="14"/>
    </row>
    <row r="17" spans="1:5" ht="31.5">
      <c r="A17" s="23"/>
      <c r="B17" s="29" t="s">
        <v>30</v>
      </c>
      <c r="C17" s="30" t="s">
        <v>31</v>
      </c>
      <c r="D17" s="14"/>
      <c r="E17" s="14"/>
    </row>
    <row r="18" spans="1:5" ht="31.5">
      <c r="A18" s="23"/>
      <c r="B18" s="29" t="s">
        <v>32</v>
      </c>
      <c r="C18" s="30" t="s">
        <v>31</v>
      </c>
      <c r="D18" s="14"/>
      <c r="E18" s="14"/>
    </row>
    <row r="19" spans="1:5" ht="15.75">
      <c r="A19" s="23"/>
      <c r="B19" s="29" t="s">
        <v>33</v>
      </c>
      <c r="C19" s="31" t="s">
        <v>34</v>
      </c>
      <c r="D19" s="14"/>
      <c r="E19" s="14"/>
    </row>
    <row r="20" spans="1:5" ht="15.75">
      <c r="A20" s="26"/>
      <c r="B20" s="29" t="s">
        <v>35</v>
      </c>
      <c r="C20" s="32" t="s">
        <v>36</v>
      </c>
      <c r="D20" s="14"/>
      <c r="E20" s="14"/>
    </row>
    <row r="21" spans="1:5" ht="31.5">
      <c r="A21" s="23"/>
      <c r="B21" s="29" t="s">
        <v>37</v>
      </c>
      <c r="C21" s="33" t="s">
        <v>38</v>
      </c>
      <c r="D21" s="14"/>
      <c r="E21" s="14"/>
    </row>
    <row r="22" spans="1:5" ht="15.75">
      <c r="A22" s="23"/>
      <c r="B22" s="29" t="s">
        <v>39</v>
      </c>
      <c r="C22" s="30" t="s">
        <v>40</v>
      </c>
      <c r="D22" s="14"/>
      <c r="E22" s="14"/>
    </row>
    <row r="23" spans="1:5" ht="15.75">
      <c r="A23" s="23"/>
      <c r="B23" s="29" t="s">
        <v>41</v>
      </c>
      <c r="C23" s="30" t="s">
        <v>42</v>
      </c>
      <c r="D23" s="14"/>
      <c r="E23" s="14"/>
    </row>
    <row r="24" spans="1:5" ht="15.75">
      <c r="A24" s="23"/>
      <c r="B24" s="29" t="s">
        <v>43</v>
      </c>
      <c r="C24" s="30" t="s">
        <v>44</v>
      </c>
      <c r="D24" s="14"/>
      <c r="E24" s="14"/>
    </row>
    <row r="25" spans="1:5" ht="15.75">
      <c r="A25" s="23"/>
      <c r="B25" s="29" t="s">
        <v>45</v>
      </c>
      <c r="C25" s="30" t="s">
        <v>46</v>
      </c>
      <c r="D25" s="14"/>
      <c r="E25" s="14"/>
    </row>
    <row r="26" spans="1:5" ht="15.75">
      <c r="A26" s="23"/>
      <c r="B26" s="29" t="s">
        <v>47</v>
      </c>
      <c r="C26" s="30" t="s">
        <v>48</v>
      </c>
      <c r="D26" s="14"/>
      <c r="E26" s="14"/>
    </row>
    <row r="27" spans="1:5" ht="15.75">
      <c r="A27" s="23"/>
      <c r="B27" s="29" t="s">
        <v>45</v>
      </c>
      <c r="C27" s="30" t="s">
        <v>49</v>
      </c>
      <c r="D27" s="14"/>
      <c r="E27" s="14"/>
    </row>
    <row r="28" spans="1:5" ht="15.75">
      <c r="A28" s="26"/>
      <c r="B28" s="29" t="s">
        <v>50</v>
      </c>
      <c r="C28" s="34">
        <v>40118</v>
      </c>
      <c r="D28" s="14"/>
      <c r="E28" s="14"/>
    </row>
    <row r="29" spans="1:5" ht="15.75">
      <c r="A29" s="26"/>
      <c r="B29" s="29" t="s">
        <v>51</v>
      </c>
      <c r="C29" s="35">
        <v>602</v>
      </c>
      <c r="D29" s="14"/>
      <c r="E29" s="14"/>
    </row>
    <row r="30" spans="1:5" ht="15.75">
      <c r="A30" s="416"/>
      <c r="B30" s="416"/>
      <c r="C30" s="416"/>
      <c r="D30" s="14"/>
      <c r="E30" s="14"/>
    </row>
    <row r="31" spans="1:5" ht="15.75">
      <c r="A31" s="36"/>
      <c r="B31" s="422" t="s">
        <v>52</v>
      </c>
      <c r="C31" s="422"/>
      <c r="D31" s="14"/>
      <c r="E31" s="14"/>
    </row>
    <row r="32" spans="1:5" ht="15.75">
      <c r="A32" s="27"/>
      <c r="B32" s="37" t="s">
        <v>53</v>
      </c>
      <c r="C32" s="30" t="s">
        <v>54</v>
      </c>
      <c r="D32" s="14"/>
      <c r="E32" s="14"/>
    </row>
    <row r="33" spans="1:5" ht="31.5">
      <c r="A33" s="27"/>
      <c r="B33" s="38" t="s">
        <v>55</v>
      </c>
      <c r="C33" s="39">
        <v>1095105001067</v>
      </c>
      <c r="D33" s="14"/>
      <c r="E33" s="14"/>
    </row>
    <row r="34" spans="1:5" ht="31.5">
      <c r="A34" s="40"/>
      <c r="B34" s="38" t="s">
        <v>56</v>
      </c>
      <c r="C34" s="41">
        <v>5112021086</v>
      </c>
      <c r="D34" s="14"/>
      <c r="E34" s="14"/>
    </row>
    <row r="35" spans="1:5" ht="188.25" customHeight="1">
      <c r="A35" s="40"/>
      <c r="B35" s="25" t="s">
        <v>57</v>
      </c>
      <c r="C35" s="30" t="s">
        <v>58</v>
      </c>
      <c r="D35" s="14"/>
      <c r="E35" s="14"/>
    </row>
    <row r="36" spans="1:5" ht="49.5" customHeight="1">
      <c r="A36" s="40"/>
      <c r="B36" s="38" t="s">
        <v>59</v>
      </c>
      <c r="C36" s="42" t="s">
        <v>38</v>
      </c>
      <c r="D36" s="14"/>
      <c r="E36" s="14"/>
    </row>
    <row r="37" spans="1:5" ht="63">
      <c r="A37" s="40"/>
      <c r="B37" s="25" t="s">
        <v>60</v>
      </c>
      <c r="C37" s="42" t="s">
        <v>38</v>
      </c>
      <c r="D37" s="14"/>
      <c r="E37" s="14"/>
    </row>
    <row r="38" spans="1:5" ht="15.75">
      <c r="A38" s="43"/>
      <c r="B38" s="38"/>
      <c r="C38" s="42"/>
      <c r="D38" s="14"/>
      <c r="E38" s="14"/>
    </row>
    <row r="39" spans="1:5" ht="12.75" customHeight="1">
      <c r="A39" s="44"/>
      <c r="B39" s="423" t="s">
        <v>61</v>
      </c>
      <c r="C39" s="423"/>
      <c r="D39" s="14"/>
      <c r="E39" s="14"/>
    </row>
    <row r="40" spans="1:5" ht="15.75">
      <c r="A40" s="27"/>
      <c r="B40" s="38" t="s">
        <v>62</v>
      </c>
      <c r="C40" s="35" t="s">
        <v>63</v>
      </c>
      <c r="D40" s="14"/>
      <c r="E40" s="14"/>
    </row>
    <row r="41" spans="1:5" ht="31.5">
      <c r="A41" s="27"/>
      <c r="B41" s="37" t="s">
        <v>64</v>
      </c>
      <c r="C41" s="35" t="s">
        <v>63</v>
      </c>
      <c r="D41" s="14"/>
      <c r="E41" s="14"/>
    </row>
    <row r="42" spans="1:5" ht="15.75">
      <c r="A42" s="27"/>
      <c r="B42" s="37" t="s">
        <v>65</v>
      </c>
      <c r="C42" s="45" t="s">
        <v>63</v>
      </c>
      <c r="D42" s="14"/>
      <c r="E42" s="14"/>
    </row>
    <row r="43" spans="1:5" ht="15.75">
      <c r="A43" s="40"/>
      <c r="B43" s="25" t="s">
        <v>33</v>
      </c>
      <c r="C43" s="45" t="s">
        <v>63</v>
      </c>
      <c r="D43" s="14"/>
      <c r="E43" s="14"/>
    </row>
    <row r="44" spans="1:5" ht="15.75">
      <c r="A44" s="40"/>
      <c r="B44" s="25" t="s">
        <v>35</v>
      </c>
      <c r="C44" s="45" t="s">
        <v>63</v>
      </c>
      <c r="D44" s="14"/>
      <c r="E44" s="14"/>
    </row>
    <row r="45" spans="1:5" ht="15.75">
      <c r="A45" s="40"/>
      <c r="B45" s="25" t="s">
        <v>66</v>
      </c>
      <c r="C45" s="45" t="s">
        <v>63</v>
      </c>
      <c r="D45" s="14"/>
      <c r="E45" s="14"/>
    </row>
    <row r="46" spans="1:5" ht="31.5">
      <c r="A46" s="43"/>
      <c r="B46" s="25" t="s">
        <v>67</v>
      </c>
      <c r="C46" s="45" t="s">
        <v>63</v>
      </c>
      <c r="D46" s="14"/>
      <c r="E46" s="14"/>
    </row>
    <row r="47" spans="1:5" ht="31.5">
      <c r="A47" s="46"/>
      <c r="B47" s="25" t="s">
        <v>68</v>
      </c>
      <c r="C47" s="47" t="s">
        <v>63</v>
      </c>
      <c r="D47" s="14"/>
      <c r="E47" s="14"/>
    </row>
    <row r="48" spans="1:3" ht="15.75">
      <c r="A48" s="48"/>
      <c r="B48" s="49"/>
      <c r="C48" s="48"/>
    </row>
    <row r="49" spans="1:3" ht="15.75">
      <c r="A49" s="50"/>
      <c r="B49" s="422" t="s">
        <v>69</v>
      </c>
      <c r="C49" s="422"/>
    </row>
    <row r="50" spans="1:3" ht="15.75">
      <c r="A50" s="51"/>
      <c r="B50" s="38" t="s">
        <v>70</v>
      </c>
      <c r="C50" s="52" t="s">
        <v>63</v>
      </c>
    </row>
    <row r="51" spans="1:3" ht="47.25">
      <c r="A51" s="51"/>
      <c r="B51" s="38" t="s">
        <v>71</v>
      </c>
      <c r="C51" s="52" t="s">
        <v>63</v>
      </c>
    </row>
    <row r="52" spans="1:3" ht="15.75">
      <c r="A52" s="51"/>
      <c r="B52" s="38" t="s">
        <v>72</v>
      </c>
      <c r="C52" s="52" t="s">
        <v>63</v>
      </c>
    </row>
    <row r="53" spans="1:3" ht="15.75">
      <c r="A53" s="51"/>
      <c r="B53" s="38" t="s">
        <v>73</v>
      </c>
      <c r="C53" s="52" t="s">
        <v>63</v>
      </c>
    </row>
    <row r="54" spans="1:3" ht="15.75">
      <c r="A54" s="51"/>
      <c r="B54" s="38" t="s">
        <v>74</v>
      </c>
      <c r="C54" s="52" t="s">
        <v>63</v>
      </c>
    </row>
    <row r="55" spans="1:3" ht="47.25">
      <c r="A55" s="51"/>
      <c r="B55" s="38" t="s">
        <v>75</v>
      </c>
      <c r="C55" s="52" t="s">
        <v>63</v>
      </c>
    </row>
    <row r="56" spans="1:3" ht="15.75">
      <c r="A56" s="53"/>
      <c r="B56" s="54"/>
      <c r="C56" s="55"/>
    </row>
    <row r="57" spans="1:3" ht="15.75">
      <c r="A57" s="56"/>
      <c r="B57" s="422" t="s">
        <v>76</v>
      </c>
      <c r="C57" s="422"/>
    </row>
    <row r="58" spans="1:3" ht="31.5">
      <c r="A58" s="40"/>
      <c r="B58" s="57" t="s">
        <v>77</v>
      </c>
      <c r="C58" s="58">
        <v>1115.1</v>
      </c>
    </row>
    <row r="59" spans="1:3" ht="50.25" customHeight="1">
      <c r="A59" s="40"/>
      <c r="B59" s="59" t="s">
        <v>78</v>
      </c>
      <c r="C59" s="30" t="s">
        <v>79</v>
      </c>
    </row>
    <row r="60" spans="1:3" ht="15.75">
      <c r="A60" s="40"/>
      <c r="B60" s="31"/>
      <c r="C60" s="42"/>
    </row>
    <row r="61" spans="1:3" ht="15.75">
      <c r="A61" s="40"/>
      <c r="B61" s="31"/>
      <c r="C61" s="42"/>
    </row>
    <row r="62" spans="1:3" ht="15.75">
      <c r="A62" s="40"/>
      <c r="B62" s="31"/>
      <c r="C62" s="60"/>
    </row>
    <row r="63" spans="1:3" ht="15.75">
      <c r="A63" s="40"/>
      <c r="B63" s="31"/>
      <c r="C63" s="61"/>
    </row>
    <row r="64" spans="1:3" ht="15.75">
      <c r="A64" s="40"/>
      <c r="B64" s="62"/>
      <c r="C64" s="42"/>
    </row>
    <row r="65" spans="1:13" ht="12.75" customHeight="1">
      <c r="A65" s="56"/>
      <c r="B65" s="423" t="s">
        <v>80</v>
      </c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</row>
    <row r="66" spans="1:256" ht="15.75">
      <c r="A66" s="43"/>
      <c r="B66" s="63"/>
      <c r="C66" s="64"/>
      <c r="D66"/>
      <c r="IL66"/>
      <c r="IM66"/>
      <c r="IN66"/>
      <c r="IO66"/>
      <c r="IP66"/>
      <c r="IQ66"/>
      <c r="IR66"/>
      <c r="IS66"/>
      <c r="IT66"/>
      <c r="IU66"/>
      <c r="IV66"/>
    </row>
    <row r="67" spans="1:256" ht="47.25">
      <c r="A67" s="43"/>
      <c r="B67" s="65" t="s">
        <v>81</v>
      </c>
      <c r="C67" s="42">
        <v>44.3</v>
      </c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40"/>
      <c r="B68" s="66" t="s">
        <v>82</v>
      </c>
      <c r="C68" s="42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40"/>
      <c r="B69" s="38" t="s">
        <v>83</v>
      </c>
      <c r="C69" s="42" t="s">
        <v>63</v>
      </c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40"/>
      <c r="B70" s="38" t="s">
        <v>84</v>
      </c>
      <c r="C70" s="42" t="s">
        <v>63</v>
      </c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40"/>
      <c r="B71" s="38" t="s">
        <v>85</v>
      </c>
      <c r="C71" s="42">
        <v>13</v>
      </c>
      <c r="IL71"/>
      <c r="IM71"/>
      <c r="IN71"/>
      <c r="IO71"/>
      <c r="IP71"/>
      <c r="IQ71"/>
      <c r="IR71"/>
      <c r="IS71"/>
      <c r="IT71"/>
      <c r="IU71"/>
      <c r="IV71"/>
    </row>
    <row r="72" spans="1:8" ht="15.75">
      <c r="A72" s="53"/>
      <c r="B72" s="67"/>
      <c r="C72" s="55"/>
      <c r="D72" s="68"/>
      <c r="E72" s="68"/>
      <c r="F72" s="68"/>
      <c r="G72" s="14"/>
      <c r="H72" s="14"/>
    </row>
    <row r="73" spans="1:3" ht="63">
      <c r="A73" s="54"/>
      <c r="B73" s="69" t="s">
        <v>86</v>
      </c>
      <c r="C73" s="70"/>
    </row>
    <row r="74" spans="1:3" ht="15.75">
      <c r="A74" s="54"/>
      <c r="B74" s="69"/>
      <c r="C74" s="71"/>
    </row>
    <row r="75" spans="1:3" ht="15.75">
      <c r="A75" s="54"/>
      <c r="B75" s="69"/>
      <c r="C75" s="71"/>
    </row>
    <row r="76" spans="1:3" ht="15.75">
      <c r="A76" s="54"/>
      <c r="B76" s="69"/>
      <c r="C76" s="71"/>
    </row>
    <row r="77" spans="1:3" ht="15.75">
      <c r="A77" s="54"/>
      <c r="B77" s="69"/>
      <c r="C77" s="71"/>
    </row>
  </sheetData>
  <sheetProtection selectLockedCells="1" selectUnlockedCells="1"/>
  <mergeCells count="17">
    <mergeCell ref="B31:C31"/>
    <mergeCell ref="B39:C39"/>
    <mergeCell ref="B49:C49"/>
    <mergeCell ref="B57:C57"/>
    <mergeCell ref="B65:M65"/>
    <mergeCell ref="B10:C10"/>
    <mergeCell ref="B12:C12"/>
    <mergeCell ref="B13:C13"/>
    <mergeCell ref="B14:C14"/>
    <mergeCell ref="B15:C15"/>
    <mergeCell ref="A30:C30"/>
    <mergeCell ref="A1:D1"/>
    <mergeCell ref="A2:D2"/>
    <mergeCell ref="A3:D3"/>
    <mergeCell ref="B5:C5"/>
    <mergeCell ref="A6:D6"/>
    <mergeCell ref="B7:C7"/>
  </mergeCells>
  <hyperlinks>
    <hyperlink ref="C20" r:id="rId1" display="Snegnogorsk@socmurman.ru"/>
  </hyperlink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G98"/>
  <sheetViews>
    <sheetView tabSelected="1" zoomScaleSheetLayoutView="100" zoomScalePageLayoutView="0" workbookViewId="0" topLeftCell="A1">
      <pane xSplit="3" ySplit="6" topLeftCell="D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88" sqref="F88"/>
    </sheetView>
  </sheetViews>
  <sheetFormatPr defaultColWidth="9.00390625" defaultRowHeight="12.75"/>
  <cols>
    <col min="1" max="1" width="7.375" style="13" customWidth="1"/>
    <col min="2" max="2" width="47.375" style="13" customWidth="1"/>
    <col min="3" max="3" width="40.625" style="13" customWidth="1"/>
    <col min="4" max="4" width="13.875" style="313" customWidth="1"/>
    <col min="5" max="5" width="12.875" style="313" customWidth="1"/>
    <col min="6" max="6" width="14.625" style="72" customWidth="1"/>
    <col min="7" max="7" width="12.875" style="72" customWidth="1"/>
    <col min="8" max="8" width="14.625" style="314" customWidth="1"/>
    <col min="9" max="9" width="12.625" style="314" customWidth="1"/>
    <col min="10" max="10" width="15.00390625" style="72" customWidth="1"/>
    <col min="11" max="11" width="14.125" style="13" customWidth="1"/>
    <col min="12" max="16384" width="9.125" style="13" customWidth="1"/>
  </cols>
  <sheetData>
    <row r="1" spans="1:8" ht="15.75">
      <c r="A1" s="417" t="s">
        <v>87</v>
      </c>
      <c r="B1" s="417"/>
      <c r="C1" s="417"/>
      <c r="D1" s="417"/>
      <c r="E1" s="417"/>
      <c r="F1" s="48"/>
      <c r="H1" s="54"/>
    </row>
    <row r="2" spans="1:33" ht="15.75">
      <c r="A2" s="438" t="s">
        <v>23</v>
      </c>
      <c r="B2" s="438"/>
      <c r="C2" s="438"/>
      <c r="D2" s="438"/>
      <c r="E2" s="438"/>
      <c r="F2" s="285"/>
      <c r="G2" s="76"/>
      <c r="H2" s="54"/>
      <c r="J2" s="76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s="5" customFormat="1" ht="9.75" customHeight="1">
      <c r="A3" s="74"/>
      <c r="B3" s="439" t="s">
        <v>24</v>
      </c>
      <c r="C3" s="439"/>
      <c r="D3" s="439"/>
      <c r="E3" s="439"/>
      <c r="F3" s="286"/>
      <c r="G3" s="284"/>
      <c r="H3" s="318"/>
      <c r="I3" s="319"/>
      <c r="J3" s="284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ht="13.5" customHeight="1">
      <c r="A4" s="73"/>
      <c r="B4" s="73"/>
      <c r="C4" s="73"/>
      <c r="F4" s="76"/>
      <c r="G4" s="76"/>
      <c r="J4" s="76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ht="15.75">
      <c r="A5" s="77"/>
      <c r="B5" s="77"/>
      <c r="C5" s="78"/>
      <c r="D5" s="435" t="s">
        <v>586</v>
      </c>
      <c r="E5" s="435"/>
      <c r="F5" s="435" t="s">
        <v>592</v>
      </c>
      <c r="G5" s="435"/>
      <c r="H5" s="435" t="s">
        <v>594</v>
      </c>
      <c r="I5" s="435"/>
      <c r="J5" s="435" t="s">
        <v>613</v>
      </c>
      <c r="K5" s="435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s="72" customFormat="1" ht="71.25">
      <c r="A6" s="325"/>
      <c r="B6" s="326" t="s">
        <v>88</v>
      </c>
      <c r="C6" s="327" t="s">
        <v>89</v>
      </c>
      <c r="D6" s="356" t="s">
        <v>635</v>
      </c>
      <c r="E6" s="357" t="s">
        <v>90</v>
      </c>
      <c r="F6" s="358" t="s">
        <v>634</v>
      </c>
      <c r="G6" s="357" t="s">
        <v>90</v>
      </c>
      <c r="H6" s="358" t="s">
        <v>635</v>
      </c>
      <c r="I6" s="357" t="s">
        <v>90</v>
      </c>
      <c r="J6" s="358" t="s">
        <v>635</v>
      </c>
      <c r="K6" s="359" t="s">
        <v>90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57.75" customHeight="1">
      <c r="A7" s="328">
        <v>1</v>
      </c>
      <c r="B7" s="329" t="s">
        <v>91</v>
      </c>
      <c r="C7" s="427" t="s">
        <v>92</v>
      </c>
      <c r="D7" s="363">
        <v>380</v>
      </c>
      <c r="E7" s="364">
        <v>3257900.68</v>
      </c>
      <c r="F7" s="363">
        <v>655</v>
      </c>
      <c r="G7" s="364">
        <v>7122999.98</v>
      </c>
      <c r="H7" s="303">
        <v>316</v>
      </c>
      <c r="I7" s="301">
        <v>3969190</v>
      </c>
      <c r="J7" s="288">
        <v>488</v>
      </c>
      <c r="K7" s="352">
        <v>8320000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ht="57.75" customHeight="1">
      <c r="A8" s="328">
        <v>2</v>
      </c>
      <c r="B8" s="329" t="s">
        <v>587</v>
      </c>
      <c r="C8" s="428"/>
      <c r="D8" s="363">
        <v>126</v>
      </c>
      <c r="E8" s="365">
        <v>13356926.5</v>
      </c>
      <c r="F8" s="363">
        <v>227</v>
      </c>
      <c r="G8" s="364">
        <v>21648476</v>
      </c>
      <c r="H8" s="303">
        <v>110</v>
      </c>
      <c r="I8" s="301">
        <v>11117877</v>
      </c>
      <c r="J8" s="288">
        <v>106</v>
      </c>
      <c r="K8" s="352">
        <v>23703200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59.25" customHeight="1">
      <c r="A9" s="330">
        <v>3</v>
      </c>
      <c r="B9" s="321" t="s">
        <v>93</v>
      </c>
      <c r="C9" s="428"/>
      <c r="D9" s="363">
        <v>1282</v>
      </c>
      <c r="E9" s="365">
        <v>45633592.81999999</v>
      </c>
      <c r="F9" s="363">
        <v>1241</v>
      </c>
      <c r="G9" s="365">
        <v>96936991.75999998</v>
      </c>
      <c r="H9" s="303">
        <v>1296</v>
      </c>
      <c r="I9" s="302">
        <v>56739000.63999999</v>
      </c>
      <c r="J9" s="288">
        <v>1318</v>
      </c>
      <c r="K9" s="352">
        <v>113150631.99000001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ht="50.25" customHeight="1">
      <c r="A10" s="330">
        <v>4</v>
      </c>
      <c r="B10" s="329" t="s">
        <v>94</v>
      </c>
      <c r="C10" s="429"/>
      <c r="D10" s="363">
        <v>641</v>
      </c>
      <c r="E10" s="365">
        <v>7908744.86</v>
      </c>
      <c r="F10" s="363">
        <v>630</v>
      </c>
      <c r="G10" s="365">
        <v>15870612.209999999</v>
      </c>
      <c r="H10" s="303">
        <v>268</v>
      </c>
      <c r="I10" s="302">
        <v>4999564.39</v>
      </c>
      <c r="J10" s="288">
        <v>94</v>
      </c>
      <c r="K10" s="352">
        <v>6492720.18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s="72" customFormat="1" ht="91.5" customHeight="1">
      <c r="A11" s="378"/>
      <c r="B11" s="383" t="s">
        <v>95</v>
      </c>
      <c r="C11" s="384"/>
      <c r="D11" s="381">
        <f>D12+D13+D14+D15</f>
        <v>5523</v>
      </c>
      <c r="E11" s="381">
        <f aca="true" t="shared" si="0" ref="E11:K11">E12+E13+E14+E15</f>
        <v>24333986.689999998</v>
      </c>
      <c r="F11" s="381">
        <f t="shared" si="0"/>
        <v>5503</v>
      </c>
      <c r="G11" s="381">
        <f t="shared" si="0"/>
        <v>48999325.39</v>
      </c>
      <c r="H11" s="381">
        <f t="shared" si="0"/>
        <v>5494</v>
      </c>
      <c r="I11" s="381">
        <f t="shared" si="0"/>
        <v>24439978.069999997</v>
      </c>
      <c r="J11" s="381">
        <f t="shared" si="0"/>
        <v>5459</v>
      </c>
      <c r="K11" s="381">
        <f t="shared" si="0"/>
        <v>49102745.21000001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36.75" customHeight="1">
      <c r="A12" s="330">
        <v>5</v>
      </c>
      <c r="B12" s="329" t="s">
        <v>97</v>
      </c>
      <c r="C12" s="427" t="s">
        <v>96</v>
      </c>
      <c r="D12" s="363">
        <v>3126</v>
      </c>
      <c r="E12" s="365">
        <v>20897730</v>
      </c>
      <c r="F12" s="363">
        <v>3054</v>
      </c>
      <c r="G12" s="365">
        <v>41983802.11</v>
      </c>
      <c r="H12" s="303">
        <v>3013</v>
      </c>
      <c r="I12" s="302">
        <v>20793608.339999996</v>
      </c>
      <c r="J12" s="288">
        <v>2956</v>
      </c>
      <c r="K12" s="352">
        <v>41655535.89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6.5" customHeight="1">
      <c r="A13" s="330">
        <v>6</v>
      </c>
      <c r="B13" s="329" t="s">
        <v>98</v>
      </c>
      <c r="C13" s="428"/>
      <c r="D13" s="366">
        <v>0</v>
      </c>
      <c r="E13" s="365">
        <v>0</v>
      </c>
      <c r="F13" s="366">
        <v>0</v>
      </c>
      <c r="G13" s="365">
        <v>0</v>
      </c>
      <c r="H13" s="331">
        <v>0</v>
      </c>
      <c r="I13" s="302">
        <v>0</v>
      </c>
      <c r="J13" s="288">
        <v>0</v>
      </c>
      <c r="K13" s="352">
        <v>0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s="72" customFormat="1" ht="31.5" customHeight="1">
      <c r="A14" s="330">
        <v>7</v>
      </c>
      <c r="B14" s="332" t="s">
        <v>99</v>
      </c>
      <c r="C14" s="428"/>
      <c r="D14" s="363">
        <v>9</v>
      </c>
      <c r="E14" s="364">
        <v>62870.579999999994</v>
      </c>
      <c r="F14" s="363">
        <v>9</v>
      </c>
      <c r="G14" s="364">
        <v>121808.76</v>
      </c>
      <c r="H14" s="303">
        <v>8</v>
      </c>
      <c r="I14" s="301">
        <v>57735.36</v>
      </c>
      <c r="J14" s="288">
        <v>8</v>
      </c>
      <c r="K14" s="287">
        <v>117058.56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29.25" customHeight="1">
      <c r="A15" s="330">
        <v>8</v>
      </c>
      <c r="B15" s="329" t="s">
        <v>100</v>
      </c>
      <c r="C15" s="429"/>
      <c r="D15" s="363">
        <v>2388</v>
      </c>
      <c r="E15" s="365">
        <v>3373386.1100000003</v>
      </c>
      <c r="F15" s="363">
        <v>2440</v>
      </c>
      <c r="G15" s="365">
        <v>6893714.520000001</v>
      </c>
      <c r="H15" s="303">
        <v>2473</v>
      </c>
      <c r="I15" s="302">
        <v>3588634.3699999996</v>
      </c>
      <c r="J15" s="288">
        <v>2495</v>
      </c>
      <c r="K15" s="352">
        <v>7330150.760000003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s="72" customFormat="1" ht="31.5" customHeight="1">
      <c r="A16" s="378"/>
      <c r="B16" s="379" t="s">
        <v>101</v>
      </c>
      <c r="C16" s="380"/>
      <c r="D16" s="381">
        <f>D17+D18+D19+D20</f>
        <v>3132</v>
      </c>
      <c r="E16" s="382">
        <f aca="true" t="shared" si="1" ref="E16:K16">E17+E18+E19+E20</f>
        <v>35226303.080000006</v>
      </c>
      <c r="F16" s="381">
        <f t="shared" si="1"/>
        <v>3059</v>
      </c>
      <c r="G16" s="382">
        <f t="shared" si="1"/>
        <v>70425685.65999998</v>
      </c>
      <c r="H16" s="381">
        <f t="shared" si="1"/>
        <v>3027</v>
      </c>
      <c r="I16" s="382">
        <f t="shared" si="1"/>
        <v>35004369.019999996</v>
      </c>
      <c r="J16" s="381">
        <f t="shared" si="1"/>
        <v>2960</v>
      </c>
      <c r="K16" s="382">
        <f t="shared" si="1"/>
        <v>70036777.88999999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35.25" customHeight="1">
      <c r="A17" s="330">
        <v>9</v>
      </c>
      <c r="B17" s="329" t="s">
        <v>97</v>
      </c>
      <c r="C17" s="427" t="s">
        <v>96</v>
      </c>
      <c r="D17" s="363">
        <v>3115</v>
      </c>
      <c r="E17" s="365">
        <v>34950658.580000006</v>
      </c>
      <c r="F17" s="363">
        <v>3039</v>
      </c>
      <c r="G17" s="365">
        <v>69851818.63999999</v>
      </c>
      <c r="H17" s="303">
        <v>3008</v>
      </c>
      <c r="I17" s="302">
        <v>34718046.62</v>
      </c>
      <c r="J17" s="288">
        <v>2941</v>
      </c>
      <c r="K17" s="352">
        <v>69456259.16999999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</row>
    <row r="18" spans="1:33" ht="38.25" customHeight="1">
      <c r="A18" s="330">
        <v>10</v>
      </c>
      <c r="B18" s="329" t="s">
        <v>99</v>
      </c>
      <c r="C18" s="428"/>
      <c r="D18" s="363">
        <v>10</v>
      </c>
      <c r="E18" s="365">
        <v>211144.5</v>
      </c>
      <c r="F18" s="363">
        <v>10</v>
      </c>
      <c r="G18" s="365">
        <v>411102.49999999994</v>
      </c>
      <c r="H18" s="303">
        <v>9</v>
      </c>
      <c r="I18" s="302">
        <v>196322.4</v>
      </c>
      <c r="J18" s="288">
        <v>9</v>
      </c>
      <c r="K18" s="352">
        <v>398043.72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</row>
    <row r="19" spans="1:33" ht="33.75" customHeight="1">
      <c r="A19" s="333">
        <v>11</v>
      </c>
      <c r="B19" s="321" t="s">
        <v>98</v>
      </c>
      <c r="C19" s="429"/>
      <c r="D19" s="363">
        <v>0</v>
      </c>
      <c r="E19" s="365">
        <v>0</v>
      </c>
      <c r="F19" s="363">
        <v>0</v>
      </c>
      <c r="G19" s="365">
        <v>0</v>
      </c>
      <c r="H19" s="303">
        <v>0</v>
      </c>
      <c r="I19" s="302">
        <v>0</v>
      </c>
      <c r="J19" s="288">
        <v>0</v>
      </c>
      <c r="K19" s="352">
        <v>0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ht="51">
      <c r="A20" s="333">
        <v>12</v>
      </c>
      <c r="B20" s="321" t="s">
        <v>628</v>
      </c>
      <c r="C20" s="323" t="s">
        <v>629</v>
      </c>
      <c r="D20" s="363">
        <v>7</v>
      </c>
      <c r="E20" s="365">
        <v>64500</v>
      </c>
      <c r="F20" s="363">
        <v>10</v>
      </c>
      <c r="G20" s="365">
        <v>162764.52000000002</v>
      </c>
      <c r="H20" s="303">
        <v>10</v>
      </c>
      <c r="I20" s="302">
        <v>90000</v>
      </c>
      <c r="J20" s="288">
        <v>10</v>
      </c>
      <c r="K20" s="352">
        <v>182475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</row>
    <row r="21" spans="1:33" ht="35.25" customHeight="1">
      <c r="A21" s="330">
        <v>11</v>
      </c>
      <c r="B21" s="321" t="s">
        <v>102</v>
      </c>
      <c r="C21" s="427" t="s">
        <v>630</v>
      </c>
      <c r="D21" s="363">
        <v>0</v>
      </c>
      <c r="E21" s="365">
        <v>0</v>
      </c>
      <c r="F21" s="363">
        <v>0</v>
      </c>
      <c r="G21" s="365">
        <v>0</v>
      </c>
      <c r="H21" s="303">
        <v>0</v>
      </c>
      <c r="I21" s="302">
        <v>0</v>
      </c>
      <c r="J21" s="288">
        <v>0</v>
      </c>
      <c r="K21" s="352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</row>
    <row r="22" spans="1:33" ht="33.75" customHeight="1">
      <c r="A22" s="333">
        <v>12</v>
      </c>
      <c r="B22" s="321" t="s">
        <v>103</v>
      </c>
      <c r="C22" s="429"/>
      <c r="D22" s="363">
        <v>0</v>
      </c>
      <c r="E22" s="365">
        <v>0</v>
      </c>
      <c r="F22" s="363">
        <v>0</v>
      </c>
      <c r="G22" s="365">
        <v>0</v>
      </c>
      <c r="H22" s="303">
        <v>0</v>
      </c>
      <c r="I22" s="302">
        <v>0</v>
      </c>
      <c r="J22" s="288">
        <v>0</v>
      </c>
      <c r="K22" s="352">
        <v>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</row>
    <row r="23" spans="1:33" ht="89.25">
      <c r="A23" s="333">
        <v>13</v>
      </c>
      <c r="B23" s="321" t="s">
        <v>593</v>
      </c>
      <c r="C23" s="323" t="s">
        <v>627</v>
      </c>
      <c r="D23" s="363">
        <v>2</v>
      </c>
      <c r="E23" s="365">
        <v>6644.950000000001</v>
      </c>
      <c r="F23" s="363">
        <v>2</v>
      </c>
      <c r="G23" s="365">
        <v>50444.83</v>
      </c>
      <c r="H23" s="303">
        <v>2</v>
      </c>
      <c r="I23" s="302">
        <v>50996.21</v>
      </c>
      <c r="J23" s="288">
        <v>1</v>
      </c>
      <c r="K23" s="352">
        <v>89203.09000000001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</row>
    <row r="24" spans="1:33" ht="89.25" customHeight="1">
      <c r="A24" s="333">
        <v>13</v>
      </c>
      <c r="B24" s="321" t="s">
        <v>104</v>
      </c>
      <c r="C24" s="329" t="s">
        <v>631</v>
      </c>
      <c r="D24" s="363">
        <v>14</v>
      </c>
      <c r="E24" s="365">
        <v>31925.879999999997</v>
      </c>
      <c r="F24" s="363">
        <v>15</v>
      </c>
      <c r="G24" s="365">
        <v>67586.01999999999</v>
      </c>
      <c r="H24" s="303">
        <v>25</v>
      </c>
      <c r="I24" s="302">
        <v>50338.38</v>
      </c>
      <c r="J24" s="288">
        <v>39</v>
      </c>
      <c r="K24" s="352">
        <v>119844.04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s="312" customFormat="1" ht="63" customHeight="1">
      <c r="A25" s="334">
        <v>14</v>
      </c>
      <c r="B25" s="335" t="s">
        <v>105</v>
      </c>
      <c r="C25" s="440" t="s">
        <v>106</v>
      </c>
      <c r="D25" s="367">
        <v>1567</v>
      </c>
      <c r="E25" s="368">
        <v>15539432.32</v>
      </c>
      <c r="F25" s="367">
        <v>1533</v>
      </c>
      <c r="G25" s="368">
        <v>30847775.659999996</v>
      </c>
      <c r="H25" s="344">
        <v>1618</v>
      </c>
      <c r="I25" s="345">
        <v>16292301.77</v>
      </c>
      <c r="J25" s="346">
        <v>1746</v>
      </c>
      <c r="K25" s="353">
        <v>33234268.659999996</v>
      </c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</row>
    <row r="26" spans="1:33" s="72" customFormat="1" ht="51.75" customHeight="1">
      <c r="A26" s="330">
        <v>15</v>
      </c>
      <c r="B26" s="332" t="s">
        <v>107</v>
      </c>
      <c r="C26" s="441"/>
      <c r="D26" s="363">
        <v>148</v>
      </c>
      <c r="E26" s="365">
        <v>111194.74999999999</v>
      </c>
      <c r="F26" s="363">
        <v>152</v>
      </c>
      <c r="G26" s="365">
        <v>215823.08</v>
      </c>
      <c r="H26" s="303">
        <v>128</v>
      </c>
      <c r="I26" s="302">
        <v>104890</v>
      </c>
      <c r="J26" s="343">
        <v>121</v>
      </c>
      <c r="K26" s="343">
        <v>219589.77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63" customHeight="1">
      <c r="A27" s="330">
        <v>16</v>
      </c>
      <c r="B27" s="329" t="s">
        <v>108</v>
      </c>
      <c r="C27" s="329" t="s">
        <v>109</v>
      </c>
      <c r="D27" s="363">
        <v>400</v>
      </c>
      <c r="E27" s="365">
        <v>5282972.17</v>
      </c>
      <c r="F27" s="363">
        <v>417</v>
      </c>
      <c r="G27" s="365">
        <v>10540444.16</v>
      </c>
      <c r="H27" s="303">
        <v>430</v>
      </c>
      <c r="I27" s="302">
        <v>5979254.77</v>
      </c>
      <c r="J27" s="288">
        <v>398</v>
      </c>
      <c r="K27" s="352">
        <v>11333834.99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3" ht="36.75" customHeight="1">
      <c r="A28" s="330">
        <v>17</v>
      </c>
      <c r="B28" s="321" t="s">
        <v>110</v>
      </c>
      <c r="C28" s="427" t="s">
        <v>111</v>
      </c>
      <c r="D28" s="363">
        <v>517</v>
      </c>
      <c r="E28" s="365">
        <v>1507219.08</v>
      </c>
      <c r="F28" s="363">
        <v>520</v>
      </c>
      <c r="G28" s="365">
        <v>1516311.36</v>
      </c>
      <c r="H28" s="303">
        <v>570</v>
      </c>
      <c r="I28" s="302">
        <v>1757724.2300000002</v>
      </c>
      <c r="J28" s="288">
        <v>581</v>
      </c>
      <c r="K28" s="352">
        <v>1760754.99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ht="45" customHeight="1">
      <c r="A29" s="330">
        <v>18</v>
      </c>
      <c r="B29" s="321" t="s">
        <v>112</v>
      </c>
      <c r="C29" s="428"/>
      <c r="D29" s="363">
        <v>10</v>
      </c>
      <c r="E29" s="365">
        <v>58676.31</v>
      </c>
      <c r="F29" s="363">
        <v>77</v>
      </c>
      <c r="G29" s="365">
        <v>563827.6</v>
      </c>
      <c r="H29" s="303">
        <v>12</v>
      </c>
      <c r="I29" s="302">
        <v>104028.47</v>
      </c>
      <c r="J29" s="288">
        <v>75</v>
      </c>
      <c r="K29" s="352">
        <v>705506.5700000001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3" ht="42" customHeight="1">
      <c r="A30" s="330">
        <v>19</v>
      </c>
      <c r="B30" s="321" t="s">
        <v>113</v>
      </c>
      <c r="C30" s="429"/>
      <c r="D30" s="363">
        <v>7</v>
      </c>
      <c r="E30" s="365">
        <v>109789.26000000001</v>
      </c>
      <c r="F30" s="363">
        <v>25</v>
      </c>
      <c r="G30" s="365">
        <v>403397.1599999999</v>
      </c>
      <c r="H30" s="303">
        <v>5</v>
      </c>
      <c r="I30" s="302">
        <v>81557.75</v>
      </c>
      <c r="J30" s="288">
        <v>22</v>
      </c>
      <c r="K30" s="352">
        <v>366031.22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</row>
    <row r="31" spans="1:33" ht="50.25" customHeight="1">
      <c r="A31" s="330">
        <v>20</v>
      </c>
      <c r="B31" s="321" t="s">
        <v>114</v>
      </c>
      <c r="C31" s="329" t="s">
        <v>115</v>
      </c>
      <c r="D31" s="363">
        <v>0</v>
      </c>
      <c r="E31" s="365">
        <v>0</v>
      </c>
      <c r="F31" s="363">
        <v>0</v>
      </c>
      <c r="G31" s="365">
        <v>0</v>
      </c>
      <c r="H31" s="303">
        <v>0</v>
      </c>
      <c r="I31" s="302">
        <v>0</v>
      </c>
      <c r="J31" s="288">
        <v>0</v>
      </c>
      <c r="K31" s="352">
        <v>0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33" ht="97.5" customHeight="1">
      <c r="A32" s="330">
        <v>21</v>
      </c>
      <c r="B32" s="321" t="s">
        <v>116</v>
      </c>
      <c r="C32" s="329" t="s">
        <v>117</v>
      </c>
      <c r="D32" s="363">
        <v>0</v>
      </c>
      <c r="E32" s="365">
        <v>0</v>
      </c>
      <c r="F32" s="363">
        <v>0</v>
      </c>
      <c r="G32" s="365">
        <v>0</v>
      </c>
      <c r="H32" s="303">
        <v>0</v>
      </c>
      <c r="I32" s="302">
        <v>0</v>
      </c>
      <c r="J32" s="288">
        <v>0</v>
      </c>
      <c r="K32" s="352">
        <v>0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3" ht="47.25" customHeight="1">
      <c r="A33" s="330">
        <v>22</v>
      </c>
      <c r="B33" s="329" t="s">
        <v>118</v>
      </c>
      <c r="C33" s="430" t="s">
        <v>119</v>
      </c>
      <c r="D33" s="363">
        <v>4</v>
      </c>
      <c r="E33" s="365">
        <v>124675.52</v>
      </c>
      <c r="F33" s="363">
        <v>12</v>
      </c>
      <c r="G33" s="365">
        <v>381507.12</v>
      </c>
      <c r="H33" s="303">
        <v>5</v>
      </c>
      <c r="I33" s="302">
        <v>162078.2</v>
      </c>
      <c r="J33" s="288">
        <v>22</v>
      </c>
      <c r="K33" s="352">
        <v>361920.62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3" ht="36.75" customHeight="1">
      <c r="A34" s="330">
        <v>23</v>
      </c>
      <c r="B34" s="329" t="s">
        <v>120</v>
      </c>
      <c r="C34" s="431"/>
      <c r="D34" s="363">
        <v>3</v>
      </c>
      <c r="E34" s="365">
        <v>14856.54</v>
      </c>
      <c r="F34" s="363">
        <v>200</v>
      </c>
      <c r="G34" s="365">
        <v>1015196.9000000001</v>
      </c>
      <c r="H34" s="303">
        <v>5</v>
      </c>
      <c r="I34" s="302">
        <v>24760.9</v>
      </c>
      <c r="J34" s="288">
        <v>241</v>
      </c>
      <c r="K34" s="352">
        <v>1208183.3599999999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3" ht="45.75" customHeight="1">
      <c r="A35" s="330">
        <v>24</v>
      </c>
      <c r="B35" s="329" t="s">
        <v>121</v>
      </c>
      <c r="C35" s="432"/>
      <c r="D35" s="363">
        <v>9</v>
      </c>
      <c r="E35" s="365">
        <v>90000</v>
      </c>
      <c r="F35" s="363">
        <v>20</v>
      </c>
      <c r="G35" s="365">
        <v>205000</v>
      </c>
      <c r="H35" s="303">
        <v>4</v>
      </c>
      <c r="I35" s="302">
        <v>40000</v>
      </c>
      <c r="J35" s="288">
        <v>16</v>
      </c>
      <c r="K35" s="352">
        <v>160000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ht="92.25" customHeight="1">
      <c r="A36" s="330">
        <v>25</v>
      </c>
      <c r="B36" s="329" t="s">
        <v>122</v>
      </c>
      <c r="C36" s="329" t="s">
        <v>123</v>
      </c>
      <c r="D36" s="369">
        <v>14</v>
      </c>
      <c r="E36" s="365">
        <v>70000</v>
      </c>
      <c r="F36" s="369">
        <v>9</v>
      </c>
      <c r="G36" s="365">
        <v>70000</v>
      </c>
      <c r="H36" s="336">
        <v>15</v>
      </c>
      <c r="I36" s="302">
        <v>75000</v>
      </c>
      <c r="J36" s="288">
        <v>15</v>
      </c>
      <c r="K36" s="352">
        <v>75000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</row>
    <row r="37" spans="1:33" ht="70.5" customHeight="1">
      <c r="A37" s="330">
        <v>26</v>
      </c>
      <c r="B37" s="329" t="s">
        <v>124</v>
      </c>
      <c r="C37" s="321" t="s">
        <v>125</v>
      </c>
      <c r="D37" s="370">
        <v>291</v>
      </c>
      <c r="E37" s="371">
        <v>291000</v>
      </c>
      <c r="F37" s="370">
        <v>291</v>
      </c>
      <c r="G37" s="371">
        <v>291000</v>
      </c>
      <c r="H37" s="288">
        <v>259</v>
      </c>
      <c r="I37" s="287">
        <v>259000</v>
      </c>
      <c r="J37" s="288">
        <v>259</v>
      </c>
      <c r="K37" s="352">
        <v>259000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</row>
    <row r="38" spans="1:33" ht="57" customHeight="1">
      <c r="A38" s="330">
        <v>27</v>
      </c>
      <c r="B38" s="329" t="s">
        <v>126</v>
      </c>
      <c r="C38" s="430" t="s">
        <v>127</v>
      </c>
      <c r="D38" s="370">
        <v>7</v>
      </c>
      <c r="E38" s="371">
        <v>105000</v>
      </c>
      <c r="F38" s="370">
        <v>7</v>
      </c>
      <c r="G38" s="371">
        <v>105000</v>
      </c>
      <c r="H38" s="288">
        <v>5</v>
      </c>
      <c r="I38" s="287">
        <v>75000</v>
      </c>
      <c r="J38" s="288">
        <v>5</v>
      </c>
      <c r="K38" s="352">
        <v>75000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</row>
    <row r="39" spans="1:33" ht="38.25">
      <c r="A39" s="330">
        <v>28</v>
      </c>
      <c r="B39" s="329" t="s">
        <v>128</v>
      </c>
      <c r="C39" s="431"/>
      <c r="D39" s="370">
        <v>0</v>
      </c>
      <c r="E39" s="371">
        <v>0</v>
      </c>
      <c r="F39" s="370">
        <v>0</v>
      </c>
      <c r="G39" s="371">
        <v>0</v>
      </c>
      <c r="H39" s="288">
        <v>0</v>
      </c>
      <c r="I39" s="287">
        <v>0</v>
      </c>
      <c r="J39" s="288">
        <v>0</v>
      </c>
      <c r="K39" s="352">
        <v>0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33" ht="25.5">
      <c r="A40" s="330">
        <v>29</v>
      </c>
      <c r="B40" s="329" t="s">
        <v>129</v>
      </c>
      <c r="C40" s="432"/>
      <c r="D40" s="370">
        <v>242</v>
      </c>
      <c r="E40" s="371">
        <v>145200</v>
      </c>
      <c r="F40" s="370">
        <v>242</v>
      </c>
      <c r="G40" s="371">
        <v>145200</v>
      </c>
      <c r="H40" s="288">
        <v>263</v>
      </c>
      <c r="I40" s="287">
        <v>157800</v>
      </c>
      <c r="J40" s="288">
        <v>263</v>
      </c>
      <c r="K40" s="352">
        <v>157800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</row>
    <row r="41" spans="1:33" ht="70.5" customHeight="1">
      <c r="A41" s="330">
        <v>30</v>
      </c>
      <c r="B41" s="329" t="s">
        <v>130</v>
      </c>
      <c r="C41" s="329" t="s">
        <v>131</v>
      </c>
      <c r="D41" s="370">
        <v>3</v>
      </c>
      <c r="E41" s="371">
        <v>54000</v>
      </c>
      <c r="F41" s="370">
        <v>3</v>
      </c>
      <c r="G41" s="371">
        <v>248238</v>
      </c>
      <c r="H41" s="288">
        <v>6</v>
      </c>
      <c r="I41" s="287">
        <v>364320</v>
      </c>
      <c r="J41" s="288">
        <v>6</v>
      </c>
      <c r="K41" s="352">
        <v>637560</v>
      </c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</row>
    <row r="42" spans="1:33" s="72" customFormat="1" ht="90" customHeight="1">
      <c r="A42" s="330">
        <v>31</v>
      </c>
      <c r="B42" s="332" t="s">
        <v>132</v>
      </c>
      <c r="C42" s="332" t="s">
        <v>133</v>
      </c>
      <c r="D42" s="370">
        <v>0</v>
      </c>
      <c r="E42" s="371">
        <v>0</v>
      </c>
      <c r="F42" s="370">
        <v>0</v>
      </c>
      <c r="G42" s="371">
        <v>0</v>
      </c>
      <c r="H42" s="288">
        <v>0</v>
      </c>
      <c r="I42" s="287">
        <v>0</v>
      </c>
      <c r="J42" s="288">
        <v>0</v>
      </c>
      <c r="K42" s="287">
        <v>0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 ht="81.75" customHeight="1">
      <c r="A43" s="330">
        <v>32</v>
      </c>
      <c r="B43" s="332" t="s">
        <v>134</v>
      </c>
      <c r="C43" s="332" t="s">
        <v>135</v>
      </c>
      <c r="D43" s="372">
        <v>1599</v>
      </c>
      <c r="E43" s="373">
        <v>30096484.94</v>
      </c>
      <c r="F43" s="372">
        <v>1712</v>
      </c>
      <c r="G43" s="373">
        <v>61171621.43000001</v>
      </c>
      <c r="H43" s="337">
        <v>1523</v>
      </c>
      <c r="I43" s="304">
        <v>29793172.740000002</v>
      </c>
      <c r="J43" s="288">
        <v>1629</v>
      </c>
      <c r="K43" s="352">
        <v>54806393.63000001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:33" ht="66.75" customHeight="1">
      <c r="A44" s="330">
        <v>33</v>
      </c>
      <c r="B44" s="329" t="s">
        <v>136</v>
      </c>
      <c r="C44" s="329" t="s">
        <v>137</v>
      </c>
      <c r="D44" s="370">
        <v>140</v>
      </c>
      <c r="E44" s="371">
        <v>2199333.2199999997</v>
      </c>
      <c r="F44" s="370">
        <v>149</v>
      </c>
      <c r="G44" s="371">
        <v>2340757.78</v>
      </c>
      <c r="H44" s="288">
        <v>141</v>
      </c>
      <c r="I44" s="287">
        <v>2337512.1</v>
      </c>
      <c r="J44" s="288">
        <v>142</v>
      </c>
      <c r="K44" s="352">
        <v>2354090.2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1:33" ht="38.25">
      <c r="A45" s="330">
        <v>34</v>
      </c>
      <c r="B45" s="329" t="s">
        <v>138</v>
      </c>
      <c r="C45" s="323" t="s">
        <v>625</v>
      </c>
      <c r="D45" s="370">
        <v>18</v>
      </c>
      <c r="E45" s="371">
        <v>159150.69</v>
      </c>
      <c r="F45" s="370">
        <v>28</v>
      </c>
      <c r="G45" s="371">
        <v>250495.49000000002</v>
      </c>
      <c r="H45" s="288">
        <v>12</v>
      </c>
      <c r="I45" s="287">
        <v>109613.75999999998</v>
      </c>
      <c r="J45" s="288">
        <v>28</v>
      </c>
      <c r="K45" s="352">
        <v>259784.64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:33" ht="63" customHeight="1">
      <c r="A46" s="330">
        <v>35</v>
      </c>
      <c r="B46" s="332" t="s">
        <v>140</v>
      </c>
      <c r="C46" s="427" t="s">
        <v>139</v>
      </c>
      <c r="D46" s="370">
        <v>0</v>
      </c>
      <c r="E46" s="371">
        <v>0</v>
      </c>
      <c r="F46" s="370">
        <v>0</v>
      </c>
      <c r="G46" s="371">
        <v>0</v>
      </c>
      <c r="H46" s="288">
        <v>0</v>
      </c>
      <c r="I46" s="287">
        <v>0</v>
      </c>
      <c r="J46" s="288">
        <v>0</v>
      </c>
      <c r="K46" s="352">
        <v>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</row>
    <row r="47" spans="1:33" ht="57" customHeight="1">
      <c r="A47" s="330">
        <v>36</v>
      </c>
      <c r="B47" s="332" t="s">
        <v>141</v>
      </c>
      <c r="C47" s="428"/>
      <c r="D47" s="370">
        <v>0</v>
      </c>
      <c r="E47" s="371">
        <v>0</v>
      </c>
      <c r="F47" s="370">
        <v>0</v>
      </c>
      <c r="G47" s="371">
        <v>0</v>
      </c>
      <c r="H47" s="288">
        <v>0</v>
      </c>
      <c r="I47" s="287">
        <v>0</v>
      </c>
      <c r="J47" s="288">
        <v>0</v>
      </c>
      <c r="K47" s="352">
        <v>0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ht="78.75" customHeight="1">
      <c r="A48" s="330">
        <v>37</v>
      </c>
      <c r="B48" s="332" t="s">
        <v>142</v>
      </c>
      <c r="C48" s="428"/>
      <c r="D48" s="370">
        <v>0</v>
      </c>
      <c r="E48" s="371">
        <v>0</v>
      </c>
      <c r="F48" s="370">
        <v>0</v>
      </c>
      <c r="G48" s="371">
        <v>0</v>
      </c>
      <c r="H48" s="288">
        <v>0</v>
      </c>
      <c r="I48" s="287">
        <v>0</v>
      </c>
      <c r="J48" s="288">
        <v>0</v>
      </c>
      <c r="K48" s="352">
        <v>0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spans="1:33" s="81" customFormat="1" ht="59.25" customHeight="1">
      <c r="A49" s="330">
        <v>38</v>
      </c>
      <c r="B49" s="338" t="s">
        <v>143</v>
      </c>
      <c r="C49" s="428"/>
      <c r="D49" s="370">
        <v>0</v>
      </c>
      <c r="E49" s="371">
        <v>0</v>
      </c>
      <c r="F49" s="370">
        <v>0</v>
      </c>
      <c r="G49" s="371">
        <v>0</v>
      </c>
      <c r="H49" s="288">
        <v>0</v>
      </c>
      <c r="I49" s="287">
        <v>0</v>
      </c>
      <c r="J49" s="288">
        <v>0</v>
      </c>
      <c r="K49" s="354">
        <v>0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1:33" s="72" customFormat="1" ht="48" customHeight="1">
      <c r="A50" s="330">
        <v>39</v>
      </c>
      <c r="B50" s="332" t="s">
        <v>144</v>
      </c>
      <c r="C50" s="428"/>
      <c r="D50" s="370">
        <v>0</v>
      </c>
      <c r="E50" s="371">
        <v>0</v>
      </c>
      <c r="F50" s="370">
        <v>0</v>
      </c>
      <c r="G50" s="371">
        <v>0</v>
      </c>
      <c r="H50" s="288">
        <v>0</v>
      </c>
      <c r="I50" s="287">
        <v>0</v>
      </c>
      <c r="J50" s="288">
        <v>0</v>
      </c>
      <c r="K50" s="287">
        <v>0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 ht="38.25">
      <c r="A51" s="330">
        <v>40</v>
      </c>
      <c r="B51" s="329" t="s">
        <v>145</v>
      </c>
      <c r="C51" s="428"/>
      <c r="D51" s="370">
        <v>0</v>
      </c>
      <c r="E51" s="371">
        <v>0</v>
      </c>
      <c r="F51" s="370">
        <v>0</v>
      </c>
      <c r="G51" s="371">
        <v>0</v>
      </c>
      <c r="H51" s="288">
        <v>0</v>
      </c>
      <c r="I51" s="287">
        <v>0</v>
      </c>
      <c r="J51" s="288">
        <v>0</v>
      </c>
      <c r="K51" s="352">
        <v>0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1:33" s="72" customFormat="1" ht="40.5" customHeight="1">
      <c r="A52" s="330">
        <v>41</v>
      </c>
      <c r="B52" s="332" t="s">
        <v>146</v>
      </c>
      <c r="C52" s="429"/>
      <c r="D52" s="370">
        <v>0</v>
      </c>
      <c r="E52" s="371">
        <v>0</v>
      </c>
      <c r="F52" s="370">
        <v>0</v>
      </c>
      <c r="G52" s="371">
        <v>0</v>
      </c>
      <c r="H52" s="288">
        <v>0</v>
      </c>
      <c r="I52" s="287">
        <v>0</v>
      </c>
      <c r="J52" s="288">
        <v>0</v>
      </c>
      <c r="K52" s="287">
        <v>0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 ht="51">
      <c r="A53" s="330">
        <v>42</v>
      </c>
      <c r="B53" s="329" t="s">
        <v>147</v>
      </c>
      <c r="C53" s="321" t="s">
        <v>148</v>
      </c>
      <c r="D53" s="370">
        <v>0</v>
      </c>
      <c r="E53" s="371">
        <v>0</v>
      </c>
      <c r="F53" s="370">
        <v>0</v>
      </c>
      <c r="G53" s="371">
        <v>0</v>
      </c>
      <c r="H53" s="288">
        <v>0</v>
      </c>
      <c r="I53" s="287">
        <v>0</v>
      </c>
      <c r="J53" s="288">
        <v>0</v>
      </c>
      <c r="K53" s="352">
        <v>0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38.25" customHeight="1">
      <c r="A54" s="330">
        <v>43</v>
      </c>
      <c r="B54" s="329" t="s">
        <v>149</v>
      </c>
      <c r="C54" s="427" t="s">
        <v>150</v>
      </c>
      <c r="D54" s="370">
        <v>0</v>
      </c>
      <c r="E54" s="371">
        <v>0</v>
      </c>
      <c r="F54" s="370">
        <v>0</v>
      </c>
      <c r="G54" s="371">
        <v>0</v>
      </c>
      <c r="H54" s="288">
        <v>0</v>
      </c>
      <c r="I54" s="287">
        <v>0</v>
      </c>
      <c r="J54" s="288">
        <v>0</v>
      </c>
      <c r="K54" s="352">
        <v>0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</row>
    <row r="55" spans="1:33" ht="38.25">
      <c r="A55" s="330">
        <v>44</v>
      </c>
      <c r="B55" s="329" t="s">
        <v>636</v>
      </c>
      <c r="C55" s="428"/>
      <c r="D55" s="370">
        <v>0</v>
      </c>
      <c r="E55" s="371">
        <v>0</v>
      </c>
      <c r="F55" s="370">
        <v>0</v>
      </c>
      <c r="G55" s="371">
        <v>0</v>
      </c>
      <c r="H55" s="288">
        <v>0</v>
      </c>
      <c r="I55" s="287">
        <v>0</v>
      </c>
      <c r="J55" s="288">
        <v>0</v>
      </c>
      <c r="K55" s="352">
        <v>0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</row>
    <row r="56" spans="1:33" ht="38.25">
      <c r="A56" s="330">
        <v>45</v>
      </c>
      <c r="B56" s="329" t="s">
        <v>637</v>
      </c>
      <c r="C56" s="429"/>
      <c r="D56" s="370">
        <v>0</v>
      </c>
      <c r="E56" s="371">
        <v>0</v>
      </c>
      <c r="F56" s="370">
        <v>0</v>
      </c>
      <c r="G56" s="371">
        <v>0</v>
      </c>
      <c r="H56" s="288">
        <v>0</v>
      </c>
      <c r="I56" s="287">
        <v>0</v>
      </c>
      <c r="J56" s="288">
        <v>0</v>
      </c>
      <c r="K56" s="352">
        <v>0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</row>
    <row r="57" spans="1:33" ht="73.5" customHeight="1">
      <c r="A57" s="330">
        <v>46</v>
      </c>
      <c r="B57" s="329" t="s">
        <v>151</v>
      </c>
      <c r="C57" s="329" t="s">
        <v>152</v>
      </c>
      <c r="D57" s="347">
        <v>0</v>
      </c>
      <c r="E57" s="343">
        <v>0</v>
      </c>
      <c r="F57" s="347">
        <v>0</v>
      </c>
      <c r="G57" s="343">
        <v>0</v>
      </c>
      <c r="H57" s="288">
        <v>0</v>
      </c>
      <c r="I57" s="287">
        <v>0</v>
      </c>
      <c r="J57" s="288">
        <v>0</v>
      </c>
      <c r="K57" s="352">
        <v>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</row>
    <row r="58" spans="1:33" s="72" customFormat="1" ht="126" customHeight="1">
      <c r="A58" s="330">
        <v>47</v>
      </c>
      <c r="B58" s="332" t="s">
        <v>153</v>
      </c>
      <c r="C58" s="320" t="s">
        <v>154</v>
      </c>
      <c r="D58" s="370">
        <v>0</v>
      </c>
      <c r="E58" s="371">
        <v>0</v>
      </c>
      <c r="F58" s="370">
        <v>0</v>
      </c>
      <c r="G58" s="371">
        <v>0</v>
      </c>
      <c r="H58" s="288">
        <v>0</v>
      </c>
      <c r="I58" s="287">
        <v>0</v>
      </c>
      <c r="J58" s="288">
        <v>0</v>
      </c>
      <c r="K58" s="287">
        <v>0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 ht="89.25">
      <c r="A59" s="330">
        <v>48</v>
      </c>
      <c r="B59" s="332" t="s">
        <v>155</v>
      </c>
      <c r="C59" s="320" t="s">
        <v>156</v>
      </c>
      <c r="D59" s="374">
        <v>0</v>
      </c>
      <c r="E59" s="364">
        <v>0</v>
      </c>
      <c r="F59" s="374">
        <v>0</v>
      </c>
      <c r="G59" s="364">
        <v>0</v>
      </c>
      <c r="H59" s="339">
        <v>0</v>
      </c>
      <c r="I59" s="301">
        <v>0</v>
      </c>
      <c r="J59" s="288">
        <v>0</v>
      </c>
      <c r="K59" s="352">
        <v>0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</row>
    <row r="60" spans="1:33" ht="76.5">
      <c r="A60" s="330">
        <v>49</v>
      </c>
      <c r="B60" s="329" t="s">
        <v>157</v>
      </c>
      <c r="C60" s="329" t="s">
        <v>158</v>
      </c>
      <c r="D60" s="375">
        <v>452</v>
      </c>
      <c r="E60" s="376">
        <v>50931162.76</v>
      </c>
      <c r="F60" s="375">
        <v>512</v>
      </c>
      <c r="G60" s="376">
        <v>105191420.43</v>
      </c>
      <c r="H60" s="340">
        <v>401</v>
      </c>
      <c r="I60" s="305">
        <v>48292676.12</v>
      </c>
      <c r="J60" s="288">
        <v>371</v>
      </c>
      <c r="K60" s="352">
        <v>81574924.07999998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</row>
    <row r="61" spans="1:31" s="83" customFormat="1" ht="63.75" customHeight="1">
      <c r="A61" s="330">
        <v>50</v>
      </c>
      <c r="B61" s="341" t="s">
        <v>159</v>
      </c>
      <c r="C61" s="341" t="s">
        <v>160</v>
      </c>
      <c r="D61" s="374">
        <v>100</v>
      </c>
      <c r="E61" s="364">
        <v>0</v>
      </c>
      <c r="F61" s="374">
        <v>197</v>
      </c>
      <c r="G61" s="364">
        <v>0</v>
      </c>
      <c r="H61" s="339">
        <v>86</v>
      </c>
      <c r="I61" s="301">
        <v>0</v>
      </c>
      <c r="J61" s="410">
        <v>174</v>
      </c>
      <c r="K61" s="373">
        <v>0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31" ht="63.75">
      <c r="A62" s="330">
        <v>51</v>
      </c>
      <c r="B62" s="329" t="s">
        <v>161</v>
      </c>
      <c r="C62" s="329" t="s">
        <v>162</v>
      </c>
      <c r="D62" s="370">
        <v>250</v>
      </c>
      <c r="E62" s="371">
        <v>13957137.85</v>
      </c>
      <c r="F62" s="370">
        <v>543</v>
      </c>
      <c r="G62" s="371">
        <v>30638898.49</v>
      </c>
      <c r="H62" s="288">
        <v>277</v>
      </c>
      <c r="I62" s="287">
        <v>14252887.010000002</v>
      </c>
      <c r="J62" s="288">
        <v>524</v>
      </c>
      <c r="K62" s="352">
        <v>29442552.259999998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</row>
    <row r="63" spans="1:33" s="81" customFormat="1" ht="119.25" customHeight="1">
      <c r="A63" s="330">
        <v>52</v>
      </c>
      <c r="B63" s="342" t="s">
        <v>163</v>
      </c>
      <c r="C63" s="338" t="s">
        <v>164</v>
      </c>
      <c r="D63" s="370">
        <v>0</v>
      </c>
      <c r="E63" s="371">
        <v>0</v>
      </c>
      <c r="F63" s="370">
        <v>1</v>
      </c>
      <c r="G63" s="371">
        <v>1250</v>
      </c>
      <c r="H63" s="288">
        <v>3</v>
      </c>
      <c r="I63" s="287">
        <v>21797</v>
      </c>
      <c r="J63" s="288">
        <v>3</v>
      </c>
      <c r="K63" s="354">
        <v>21797</v>
      </c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</row>
    <row r="64" spans="1:33" ht="68.25" customHeight="1">
      <c r="A64" s="330">
        <v>53</v>
      </c>
      <c r="B64" s="342" t="s">
        <v>165</v>
      </c>
      <c r="C64" s="338" t="s">
        <v>166</v>
      </c>
      <c r="D64" s="370">
        <v>415</v>
      </c>
      <c r="E64" s="371">
        <v>41359224.6</v>
      </c>
      <c r="F64" s="370">
        <v>531</v>
      </c>
      <c r="G64" s="371">
        <v>91042452.66000001</v>
      </c>
      <c r="H64" s="288">
        <v>0</v>
      </c>
      <c r="I64" s="287">
        <v>0</v>
      </c>
      <c r="J64" s="288">
        <v>0</v>
      </c>
      <c r="K64" s="352">
        <v>0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25.5">
      <c r="A65" s="330">
        <v>54</v>
      </c>
      <c r="B65" s="342" t="s">
        <v>167</v>
      </c>
      <c r="C65" s="338" t="s">
        <v>168</v>
      </c>
      <c r="D65" s="347">
        <v>200</v>
      </c>
      <c r="E65" s="343">
        <v>15280463.340000002</v>
      </c>
      <c r="F65" s="347">
        <v>306</v>
      </c>
      <c r="G65" s="343">
        <v>45332973.03000001</v>
      </c>
      <c r="H65" s="347">
        <v>138</v>
      </c>
      <c r="I65" s="343">
        <v>36451738.82000001</v>
      </c>
      <c r="J65" s="288">
        <v>268</v>
      </c>
      <c r="K65" s="352">
        <v>73955305.98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11" s="84" customFormat="1" ht="51">
      <c r="A66" s="330">
        <v>55</v>
      </c>
      <c r="B66" s="321" t="s">
        <v>169</v>
      </c>
      <c r="C66" s="323" t="s">
        <v>170</v>
      </c>
      <c r="D66" s="347">
        <v>617</v>
      </c>
      <c r="E66" s="343">
        <v>60862338.47</v>
      </c>
      <c r="F66" s="347">
        <v>792</v>
      </c>
      <c r="G66" s="343">
        <v>136396380.87</v>
      </c>
      <c r="H66" s="288">
        <v>277</v>
      </c>
      <c r="I66" s="287">
        <v>55603385.08</v>
      </c>
      <c r="J66" s="288">
        <v>594</v>
      </c>
      <c r="K66" s="352">
        <v>67267458.41</v>
      </c>
    </row>
    <row r="67" spans="1:33" ht="64.5">
      <c r="A67" s="330">
        <v>56</v>
      </c>
      <c r="B67" s="321" t="s">
        <v>171</v>
      </c>
      <c r="C67" s="322" t="s">
        <v>172</v>
      </c>
      <c r="D67" s="347">
        <v>0</v>
      </c>
      <c r="E67" s="343">
        <v>0</v>
      </c>
      <c r="F67" s="347">
        <v>0</v>
      </c>
      <c r="G67" s="343">
        <v>0</v>
      </c>
      <c r="H67" s="288">
        <v>0</v>
      </c>
      <c r="I67" s="287">
        <v>0</v>
      </c>
      <c r="J67" s="288">
        <v>0</v>
      </c>
      <c r="K67" s="352">
        <v>0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</row>
    <row r="68" spans="1:33" ht="128.25" customHeight="1">
      <c r="A68" s="330">
        <v>57</v>
      </c>
      <c r="B68" s="321" t="s">
        <v>173</v>
      </c>
      <c r="C68" s="323" t="s">
        <v>174</v>
      </c>
      <c r="D68" s="347">
        <v>0</v>
      </c>
      <c r="E68" s="343">
        <v>0</v>
      </c>
      <c r="F68" s="347">
        <v>0</v>
      </c>
      <c r="G68" s="343">
        <v>0</v>
      </c>
      <c r="H68" s="288">
        <v>0</v>
      </c>
      <c r="I68" s="287">
        <v>0</v>
      </c>
      <c r="J68" s="288">
        <v>0</v>
      </c>
      <c r="K68" s="352">
        <v>0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</row>
    <row r="69" spans="1:33" ht="45" customHeight="1">
      <c r="A69" s="330">
        <v>59</v>
      </c>
      <c r="B69" s="321" t="s">
        <v>175</v>
      </c>
      <c r="C69" s="323" t="s">
        <v>176</v>
      </c>
      <c r="D69" s="347">
        <v>58</v>
      </c>
      <c r="E69" s="343">
        <v>543165.83</v>
      </c>
      <c r="F69" s="347">
        <v>59</v>
      </c>
      <c r="G69" s="343">
        <v>1072068.23</v>
      </c>
      <c r="H69" s="288">
        <v>57</v>
      </c>
      <c r="I69" s="287">
        <v>525777.06</v>
      </c>
      <c r="J69" s="348">
        <v>49</v>
      </c>
      <c r="K69" s="348">
        <v>1054663.5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11" ht="63.75">
      <c r="A70" s="330">
        <v>60</v>
      </c>
      <c r="B70" s="321" t="s">
        <v>177</v>
      </c>
      <c r="C70" s="323" t="s">
        <v>178</v>
      </c>
      <c r="D70" s="347">
        <v>19</v>
      </c>
      <c r="E70" s="343">
        <v>536812.37</v>
      </c>
      <c r="F70" s="347">
        <v>20</v>
      </c>
      <c r="G70" s="343">
        <v>1113212.1400000001</v>
      </c>
      <c r="H70" s="288">
        <v>16</v>
      </c>
      <c r="I70" s="287">
        <v>528267.61</v>
      </c>
      <c r="J70" s="288">
        <v>15</v>
      </c>
      <c r="K70" s="352">
        <v>1002017.2799999999</v>
      </c>
    </row>
    <row r="71" spans="1:33" s="81" customFormat="1" ht="57.75" customHeight="1">
      <c r="A71" s="330">
        <v>61</v>
      </c>
      <c r="B71" s="361" t="s">
        <v>614</v>
      </c>
      <c r="C71" s="436" t="s">
        <v>179</v>
      </c>
      <c r="D71" s="347">
        <v>4</v>
      </c>
      <c r="E71" s="343">
        <v>0</v>
      </c>
      <c r="F71" s="347">
        <v>19</v>
      </c>
      <c r="G71" s="343">
        <v>0</v>
      </c>
      <c r="H71" s="288">
        <v>8</v>
      </c>
      <c r="I71" s="343">
        <v>56000</v>
      </c>
      <c r="J71" s="288">
        <v>20</v>
      </c>
      <c r="K71" s="354">
        <v>204000</v>
      </c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</row>
    <row r="72" spans="1:33" s="81" customFormat="1" ht="42" customHeight="1">
      <c r="A72" s="330">
        <v>62</v>
      </c>
      <c r="B72" s="361" t="s">
        <v>615</v>
      </c>
      <c r="C72" s="437"/>
      <c r="D72" s="347">
        <v>7</v>
      </c>
      <c r="E72" s="343">
        <v>0</v>
      </c>
      <c r="F72" s="347">
        <v>20</v>
      </c>
      <c r="G72" s="343">
        <v>0</v>
      </c>
      <c r="H72" s="288">
        <v>9</v>
      </c>
      <c r="I72" s="343">
        <v>114700</v>
      </c>
      <c r="J72" s="288">
        <v>31</v>
      </c>
      <c r="K72" s="354">
        <v>510000</v>
      </c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</row>
    <row r="73" spans="1:33" s="386" customFormat="1" ht="34.5" customHeight="1">
      <c r="A73" s="377">
        <v>63</v>
      </c>
      <c r="B73" s="361" t="s">
        <v>180</v>
      </c>
      <c r="C73" s="409" t="s">
        <v>181</v>
      </c>
      <c r="D73" s="347">
        <v>589</v>
      </c>
      <c r="E73" s="343">
        <v>0</v>
      </c>
      <c r="F73" s="347">
        <v>1464</v>
      </c>
      <c r="G73" s="343">
        <v>0</v>
      </c>
      <c r="H73" s="347">
        <v>623</v>
      </c>
      <c r="I73" s="343">
        <v>0</v>
      </c>
      <c r="J73" s="347">
        <v>1225</v>
      </c>
      <c r="K73" s="371">
        <v>0</v>
      </c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</row>
    <row r="74" spans="1:33" s="386" customFormat="1" ht="63.75" customHeight="1">
      <c r="A74" s="377">
        <v>64</v>
      </c>
      <c r="B74" s="361" t="s">
        <v>182</v>
      </c>
      <c r="C74" s="433" t="s">
        <v>183</v>
      </c>
      <c r="D74" s="347">
        <v>360</v>
      </c>
      <c r="E74" s="343">
        <v>0</v>
      </c>
      <c r="F74" s="347">
        <v>740</v>
      </c>
      <c r="G74" s="343">
        <v>0</v>
      </c>
      <c r="H74" s="347">
        <v>362</v>
      </c>
      <c r="I74" s="343">
        <v>0</v>
      </c>
      <c r="J74" s="347">
        <v>755</v>
      </c>
      <c r="K74" s="371">
        <v>0</v>
      </c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</row>
    <row r="75" spans="1:33" s="386" customFormat="1" ht="54" customHeight="1">
      <c r="A75" s="377">
        <v>65</v>
      </c>
      <c r="B75" s="361" t="s">
        <v>184</v>
      </c>
      <c r="C75" s="434"/>
      <c r="D75" s="347">
        <v>302</v>
      </c>
      <c r="E75" s="343">
        <v>0</v>
      </c>
      <c r="F75" s="347">
        <v>707</v>
      </c>
      <c r="G75" s="343">
        <v>0</v>
      </c>
      <c r="H75" s="347">
        <v>322</v>
      </c>
      <c r="I75" s="343">
        <v>0</v>
      </c>
      <c r="J75" s="347">
        <v>653</v>
      </c>
      <c r="K75" s="371">
        <v>0</v>
      </c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</row>
    <row r="76" spans="1:33" s="386" customFormat="1" ht="62.25" customHeight="1">
      <c r="A76" s="377">
        <v>66</v>
      </c>
      <c r="B76" s="361" t="s">
        <v>185</v>
      </c>
      <c r="C76" s="433" t="s">
        <v>186</v>
      </c>
      <c r="D76" s="347">
        <v>52</v>
      </c>
      <c r="E76" s="343">
        <v>0</v>
      </c>
      <c r="F76" s="347">
        <v>108</v>
      </c>
      <c r="G76" s="343">
        <v>0</v>
      </c>
      <c r="H76" s="347">
        <v>89</v>
      </c>
      <c r="I76" s="343">
        <v>0</v>
      </c>
      <c r="J76" s="347">
        <v>178</v>
      </c>
      <c r="K76" s="371">
        <v>0</v>
      </c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</row>
    <row r="77" spans="1:33" s="386" customFormat="1" ht="50.25" customHeight="1">
      <c r="A77" s="377">
        <v>67</v>
      </c>
      <c r="B77" s="361" t="s">
        <v>187</v>
      </c>
      <c r="C77" s="434"/>
      <c r="D77" s="347">
        <v>49</v>
      </c>
      <c r="E77" s="343">
        <v>0</v>
      </c>
      <c r="F77" s="347">
        <v>108</v>
      </c>
      <c r="G77" s="343">
        <v>0</v>
      </c>
      <c r="H77" s="347">
        <v>66</v>
      </c>
      <c r="I77" s="343">
        <v>0</v>
      </c>
      <c r="J77" s="347">
        <v>115</v>
      </c>
      <c r="K77" s="371">
        <v>0</v>
      </c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</row>
    <row r="78" spans="1:33" s="386" customFormat="1" ht="102">
      <c r="A78" s="377">
        <v>68</v>
      </c>
      <c r="B78" s="361" t="s">
        <v>188</v>
      </c>
      <c r="C78" s="351" t="s">
        <v>189</v>
      </c>
      <c r="D78" s="347">
        <v>0</v>
      </c>
      <c r="E78" s="343">
        <v>0</v>
      </c>
      <c r="F78" s="347">
        <v>0</v>
      </c>
      <c r="G78" s="343">
        <v>0</v>
      </c>
      <c r="H78" s="347">
        <v>0</v>
      </c>
      <c r="I78" s="343">
        <v>0</v>
      </c>
      <c r="J78" s="347">
        <v>0</v>
      </c>
      <c r="K78" s="371">
        <v>0</v>
      </c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</row>
    <row r="79" spans="1:33" s="386" customFormat="1" ht="89.25">
      <c r="A79" s="377">
        <v>69</v>
      </c>
      <c r="B79" s="361" t="s">
        <v>190</v>
      </c>
      <c r="C79" s="351" t="s">
        <v>191</v>
      </c>
      <c r="D79" s="347">
        <v>0</v>
      </c>
      <c r="E79" s="343">
        <v>0</v>
      </c>
      <c r="F79" s="347">
        <v>0</v>
      </c>
      <c r="G79" s="343">
        <v>0</v>
      </c>
      <c r="H79" s="347">
        <v>0</v>
      </c>
      <c r="I79" s="343">
        <v>0</v>
      </c>
      <c r="J79" s="347">
        <v>0</v>
      </c>
      <c r="K79" s="371">
        <v>0</v>
      </c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</row>
    <row r="80" spans="1:33" s="317" customFormat="1" ht="89.25">
      <c r="A80" s="377">
        <v>70</v>
      </c>
      <c r="B80" s="361" t="s">
        <v>192</v>
      </c>
      <c r="C80" s="351" t="s">
        <v>193</v>
      </c>
      <c r="D80" s="347">
        <v>0</v>
      </c>
      <c r="E80" s="343">
        <v>0</v>
      </c>
      <c r="F80" s="347">
        <v>0</v>
      </c>
      <c r="G80" s="343">
        <v>0</v>
      </c>
      <c r="H80" s="347">
        <v>0</v>
      </c>
      <c r="I80" s="343">
        <v>0</v>
      </c>
      <c r="J80" s="347">
        <v>0</v>
      </c>
      <c r="K80" s="343">
        <v>0</v>
      </c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</row>
    <row r="81" spans="1:31" s="386" customFormat="1" ht="89.25">
      <c r="A81" s="377">
        <v>71</v>
      </c>
      <c r="B81" s="361" t="s">
        <v>194</v>
      </c>
      <c r="C81" s="351" t="s">
        <v>195</v>
      </c>
      <c r="D81" s="347">
        <v>0</v>
      </c>
      <c r="E81" s="343">
        <v>0</v>
      </c>
      <c r="F81" s="347">
        <v>0</v>
      </c>
      <c r="G81" s="343">
        <v>0</v>
      </c>
      <c r="H81" s="347">
        <v>0</v>
      </c>
      <c r="I81" s="343">
        <v>0</v>
      </c>
      <c r="J81" s="347">
        <v>0</v>
      </c>
      <c r="K81" s="371">
        <v>0</v>
      </c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</row>
    <row r="82" spans="1:33" s="386" customFormat="1" ht="51">
      <c r="A82" s="377">
        <v>72</v>
      </c>
      <c r="B82" s="361" t="s">
        <v>196</v>
      </c>
      <c r="C82" s="351" t="s">
        <v>197</v>
      </c>
      <c r="D82" s="377">
        <v>0</v>
      </c>
      <c r="E82" s="348">
        <v>0</v>
      </c>
      <c r="F82" s="377">
        <v>0</v>
      </c>
      <c r="G82" s="348">
        <v>0</v>
      </c>
      <c r="H82" s="377">
        <v>0</v>
      </c>
      <c r="I82" s="348">
        <v>0</v>
      </c>
      <c r="J82" s="347">
        <v>0</v>
      </c>
      <c r="K82" s="371">
        <v>0</v>
      </c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</row>
    <row r="83" spans="1:11" ht="76.5">
      <c r="A83" s="307">
        <v>73</v>
      </c>
      <c r="B83" s="362" t="s">
        <v>602</v>
      </c>
      <c r="C83" s="307" t="s">
        <v>626</v>
      </c>
      <c r="D83" s="347">
        <v>0</v>
      </c>
      <c r="E83" s="343">
        <v>0</v>
      </c>
      <c r="F83" s="347">
        <v>3</v>
      </c>
      <c r="G83" s="343">
        <v>320000</v>
      </c>
      <c r="H83" s="288">
        <v>35</v>
      </c>
      <c r="I83" s="287">
        <v>1980000</v>
      </c>
      <c r="J83" s="288">
        <v>87</v>
      </c>
      <c r="K83" s="352">
        <v>5660000</v>
      </c>
    </row>
    <row r="84" spans="1:11" ht="140.25">
      <c r="A84" s="307">
        <v>74</v>
      </c>
      <c r="B84" s="362" t="s">
        <v>603</v>
      </c>
      <c r="C84" s="310" t="s">
        <v>604</v>
      </c>
      <c r="D84" s="323">
        <v>0</v>
      </c>
      <c r="E84" s="287">
        <v>0</v>
      </c>
      <c r="F84" s="323">
        <v>2</v>
      </c>
      <c r="G84" s="287">
        <v>60000</v>
      </c>
      <c r="H84" s="288">
        <v>0</v>
      </c>
      <c r="I84" s="287">
        <v>0</v>
      </c>
      <c r="J84" s="288">
        <v>0</v>
      </c>
      <c r="K84" s="352">
        <v>0</v>
      </c>
    </row>
    <row r="85" spans="1:11" ht="76.5">
      <c r="A85" s="307">
        <v>75</v>
      </c>
      <c r="B85" s="362" t="s">
        <v>595</v>
      </c>
      <c r="C85" s="310" t="s">
        <v>596</v>
      </c>
      <c r="D85" s="288">
        <v>0</v>
      </c>
      <c r="E85" s="287">
        <v>0</v>
      </c>
      <c r="F85" s="288">
        <v>221</v>
      </c>
      <c r="G85" s="287">
        <v>957000</v>
      </c>
      <c r="H85" s="288">
        <v>171</v>
      </c>
      <c r="I85" s="287">
        <v>647000</v>
      </c>
      <c r="J85" s="288">
        <v>246</v>
      </c>
      <c r="K85" s="352">
        <v>1257000</v>
      </c>
    </row>
    <row r="86" spans="1:11" ht="114" customHeight="1">
      <c r="A86" s="307">
        <v>76</v>
      </c>
      <c r="B86" s="362" t="s">
        <v>597</v>
      </c>
      <c r="C86" s="466" t="s">
        <v>605</v>
      </c>
      <c r="D86" s="288">
        <v>0</v>
      </c>
      <c r="E86" s="287">
        <v>0</v>
      </c>
      <c r="F86" s="288">
        <v>0</v>
      </c>
      <c r="G86" s="287">
        <v>0</v>
      </c>
      <c r="H86" s="288">
        <v>180</v>
      </c>
      <c r="I86" s="287">
        <v>600000</v>
      </c>
      <c r="J86" s="288">
        <v>323</v>
      </c>
      <c r="K86" s="352">
        <v>1276500</v>
      </c>
    </row>
    <row r="87" spans="1:11" ht="96.75" customHeight="1">
      <c r="A87" s="307">
        <v>77</v>
      </c>
      <c r="B87" s="306" t="s">
        <v>598</v>
      </c>
      <c r="C87" s="464" t="s">
        <v>606</v>
      </c>
      <c r="D87" s="288">
        <v>0</v>
      </c>
      <c r="E87" s="287">
        <v>0</v>
      </c>
      <c r="F87" s="288">
        <v>0</v>
      </c>
      <c r="G87" s="287">
        <v>0</v>
      </c>
      <c r="H87" s="288">
        <v>0</v>
      </c>
      <c r="I87" s="287">
        <v>0</v>
      </c>
      <c r="J87" s="288">
        <v>0</v>
      </c>
      <c r="K87" s="352">
        <v>0</v>
      </c>
    </row>
    <row r="88" spans="1:11" ht="70.5" customHeight="1">
      <c r="A88" s="307">
        <v>78</v>
      </c>
      <c r="B88" s="306" t="s">
        <v>599</v>
      </c>
      <c r="C88" s="465"/>
      <c r="D88" s="288">
        <v>0</v>
      </c>
      <c r="E88" s="287">
        <v>0</v>
      </c>
      <c r="F88" s="288">
        <v>0</v>
      </c>
      <c r="G88" s="287">
        <v>0</v>
      </c>
      <c r="H88" s="288">
        <v>2</v>
      </c>
      <c r="I88" s="287">
        <v>12000</v>
      </c>
      <c r="J88" s="288">
        <v>5</v>
      </c>
      <c r="K88" s="352">
        <v>35000</v>
      </c>
    </row>
    <row r="89" spans="1:11" ht="89.25">
      <c r="A89" s="307">
        <v>79</v>
      </c>
      <c r="B89" s="306" t="s">
        <v>600</v>
      </c>
      <c r="C89" s="307" t="s">
        <v>607</v>
      </c>
      <c r="D89" s="288">
        <v>0</v>
      </c>
      <c r="E89" s="287">
        <v>0</v>
      </c>
      <c r="F89" s="288">
        <v>0</v>
      </c>
      <c r="G89" s="287">
        <v>0</v>
      </c>
      <c r="H89" s="288">
        <v>5</v>
      </c>
      <c r="I89" s="287">
        <v>229850</v>
      </c>
      <c r="J89" s="288">
        <v>8</v>
      </c>
      <c r="K89" s="352">
        <v>717560</v>
      </c>
    </row>
    <row r="90" spans="1:11" ht="75" customHeight="1">
      <c r="A90" s="307">
        <v>80</v>
      </c>
      <c r="B90" s="306" t="s">
        <v>612</v>
      </c>
      <c r="C90" s="310" t="s">
        <v>608</v>
      </c>
      <c r="D90" s="288">
        <v>0</v>
      </c>
      <c r="E90" s="287">
        <v>0</v>
      </c>
      <c r="F90" s="288">
        <v>0</v>
      </c>
      <c r="G90" s="287">
        <v>0</v>
      </c>
      <c r="H90" s="288">
        <v>0</v>
      </c>
      <c r="I90" s="287">
        <v>0</v>
      </c>
      <c r="J90" s="288">
        <v>1</v>
      </c>
      <c r="K90" s="352">
        <v>12000</v>
      </c>
    </row>
    <row r="91" spans="1:11" ht="102">
      <c r="A91" s="307">
        <v>81</v>
      </c>
      <c r="B91" s="306" t="s">
        <v>601</v>
      </c>
      <c r="C91" s="310" t="s">
        <v>609</v>
      </c>
      <c r="D91" s="288">
        <v>16</v>
      </c>
      <c r="E91" s="287">
        <v>9328.830000000002</v>
      </c>
      <c r="F91" s="288">
        <v>15</v>
      </c>
      <c r="G91" s="287">
        <v>16741.800000000003</v>
      </c>
      <c r="H91" s="288">
        <v>15</v>
      </c>
      <c r="I91" s="287">
        <v>7834.94</v>
      </c>
      <c r="J91" s="288">
        <v>13</v>
      </c>
      <c r="K91" s="352">
        <v>15005.300000000001</v>
      </c>
    </row>
    <row r="92" spans="1:18" ht="89.25">
      <c r="A92" s="307">
        <v>82</v>
      </c>
      <c r="B92" s="306" t="s">
        <v>611</v>
      </c>
      <c r="C92" s="307" t="s">
        <v>610</v>
      </c>
      <c r="D92" s="349" t="s">
        <v>624</v>
      </c>
      <c r="E92" s="287">
        <v>284338.2</v>
      </c>
      <c r="F92" s="349">
        <v>221</v>
      </c>
      <c r="G92" s="287">
        <v>546966.88</v>
      </c>
      <c r="H92" s="350">
        <v>239</v>
      </c>
      <c r="I92" s="287">
        <v>292515.38</v>
      </c>
      <c r="J92" s="349">
        <v>230</v>
      </c>
      <c r="K92" s="287">
        <v>589786.93</v>
      </c>
      <c r="L92" s="308"/>
      <c r="M92" s="14"/>
      <c r="N92" s="14"/>
      <c r="O92" s="14"/>
      <c r="P92" s="14"/>
      <c r="Q92" s="14"/>
      <c r="R92" s="14"/>
    </row>
    <row r="93" spans="1:18" ht="38.25">
      <c r="A93" s="307">
        <v>83</v>
      </c>
      <c r="B93" s="362" t="s">
        <v>619</v>
      </c>
      <c r="C93" s="464" t="s">
        <v>620</v>
      </c>
      <c r="D93" s="349" t="s">
        <v>621</v>
      </c>
      <c r="E93" s="287" t="s">
        <v>621</v>
      </c>
      <c r="F93" s="349" t="s">
        <v>621</v>
      </c>
      <c r="G93" s="287">
        <v>0</v>
      </c>
      <c r="H93" s="350">
        <v>0</v>
      </c>
      <c r="I93" s="287">
        <v>0</v>
      </c>
      <c r="J93" s="349" t="s">
        <v>622</v>
      </c>
      <c r="K93" s="287" t="s">
        <v>621</v>
      </c>
      <c r="L93" s="308"/>
      <c r="M93" s="14"/>
      <c r="N93" s="14"/>
      <c r="O93" s="14"/>
      <c r="P93" s="14"/>
      <c r="Q93" s="14"/>
      <c r="R93" s="14"/>
    </row>
    <row r="94" spans="1:11" ht="72.75" customHeight="1">
      <c r="A94" s="309">
        <v>84</v>
      </c>
      <c r="B94" s="315" t="s">
        <v>616</v>
      </c>
      <c r="C94" s="465"/>
      <c r="D94" s="330">
        <v>0</v>
      </c>
      <c r="E94" s="301">
        <v>0</v>
      </c>
      <c r="F94" s="330">
        <v>1</v>
      </c>
      <c r="G94" s="301">
        <v>38270</v>
      </c>
      <c r="H94" s="330">
        <v>0</v>
      </c>
      <c r="I94" s="301">
        <v>0</v>
      </c>
      <c r="J94" s="330">
        <v>10</v>
      </c>
      <c r="K94" s="355">
        <v>317834</v>
      </c>
    </row>
    <row r="95" spans="1:11" ht="72.75" customHeight="1">
      <c r="A95" s="316">
        <v>85</v>
      </c>
      <c r="B95" s="360" t="s">
        <v>617</v>
      </c>
      <c r="C95" s="310" t="s">
        <v>623</v>
      </c>
      <c r="D95" s="330">
        <v>109</v>
      </c>
      <c r="E95" s="301">
        <v>0</v>
      </c>
      <c r="F95" s="330">
        <v>207</v>
      </c>
      <c r="G95" s="301">
        <v>0</v>
      </c>
      <c r="H95" s="330">
        <v>81</v>
      </c>
      <c r="I95" s="301">
        <v>0</v>
      </c>
      <c r="J95" s="330">
        <v>249</v>
      </c>
      <c r="K95" s="355">
        <v>0</v>
      </c>
    </row>
    <row r="96" spans="1:11" ht="25.5">
      <c r="A96" s="316">
        <v>87</v>
      </c>
      <c r="B96" s="307" t="s">
        <v>632</v>
      </c>
      <c r="C96" s="309"/>
      <c r="D96" s="330">
        <v>385</v>
      </c>
      <c r="E96" s="301">
        <v>0</v>
      </c>
      <c r="F96" s="330">
        <v>702</v>
      </c>
      <c r="G96" s="301">
        <v>0</v>
      </c>
      <c r="H96" s="330">
        <v>804</v>
      </c>
      <c r="I96" s="301">
        <v>0</v>
      </c>
      <c r="J96" s="330">
        <v>1744</v>
      </c>
      <c r="K96" s="355">
        <v>0</v>
      </c>
    </row>
    <row r="97" spans="1:11" ht="15.75">
      <c r="A97" s="309">
        <v>86</v>
      </c>
      <c r="B97" s="307" t="s">
        <v>618</v>
      </c>
      <c r="C97" s="309"/>
      <c r="D97" s="330">
        <v>0</v>
      </c>
      <c r="E97" s="301">
        <v>0</v>
      </c>
      <c r="F97" s="330">
        <v>195</v>
      </c>
      <c r="G97" s="301">
        <v>0</v>
      </c>
      <c r="H97" s="330">
        <v>390</v>
      </c>
      <c r="I97" s="301">
        <v>0</v>
      </c>
      <c r="J97" s="330">
        <v>564</v>
      </c>
      <c r="K97" s="355">
        <v>0</v>
      </c>
    </row>
    <row r="98" spans="4:11" s="170" customFormat="1" ht="12.75">
      <c r="D98" s="324">
        <f>SUM(D7:D97)-D16-D11</f>
        <v>20063</v>
      </c>
      <c r="E98" s="411">
        <f>SUM(E7:E97)-E16-E11-E26</f>
        <v>369367787.75999993</v>
      </c>
      <c r="F98" s="324">
        <f>SUM(F7:F97)-F16-F11</f>
        <v>24423</v>
      </c>
      <c r="G98" s="411">
        <f>SUM(G7:G97)-G16-G11-G26</f>
        <v>783945529.0399998</v>
      </c>
      <c r="H98" s="324">
        <f>SUM(H7:H97)-H16-H11</f>
        <v>20195</v>
      </c>
      <c r="I98" s="411">
        <f>SUM(I7:I97)-I16-I11-I26</f>
        <v>353600867.41999996</v>
      </c>
      <c r="J98" s="324">
        <f>SUM(J7:J97)-J16-J11</f>
        <v>24489</v>
      </c>
      <c r="K98" s="411">
        <f>SUM(K7:K97)-K16-K11-K26</f>
        <v>643683656.0199999</v>
      </c>
    </row>
  </sheetData>
  <sheetProtection selectLockedCells="1" selectUnlockedCells="1"/>
  <autoFilter ref="A6:AG98"/>
  <mergeCells count="22">
    <mergeCell ref="C76:C77"/>
    <mergeCell ref="A1:E1"/>
    <mergeCell ref="A2:E2"/>
    <mergeCell ref="B3:E3"/>
    <mergeCell ref="C7:C10"/>
    <mergeCell ref="C25:C26"/>
    <mergeCell ref="J5:K5"/>
    <mergeCell ref="D5:E5"/>
    <mergeCell ref="F5:G5"/>
    <mergeCell ref="H5:I5"/>
    <mergeCell ref="C54:C56"/>
    <mergeCell ref="C71:C72"/>
    <mergeCell ref="C93:C94"/>
    <mergeCell ref="C46:C52"/>
    <mergeCell ref="C12:C15"/>
    <mergeCell ref="C17:C19"/>
    <mergeCell ref="C21:C22"/>
    <mergeCell ref="C38:C40"/>
    <mergeCell ref="C33:C35"/>
    <mergeCell ref="C28:C30"/>
    <mergeCell ref="C87:C88"/>
    <mergeCell ref="C74:C75"/>
  </mergeCell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B92"/>
  <sheetViews>
    <sheetView zoomScale="96" zoomScaleNormal="96" zoomScalePageLayoutView="0" workbookViewId="0" topLeftCell="A7">
      <selection activeCell="AB24" sqref="AB24"/>
    </sheetView>
  </sheetViews>
  <sheetFormatPr defaultColWidth="9.00390625" defaultRowHeight="12.75"/>
  <cols>
    <col min="1" max="1" width="6.625" style="0" customWidth="1"/>
    <col min="2" max="2" width="45.375" style="0" customWidth="1"/>
    <col min="3" max="3" width="12.375" style="0" customWidth="1"/>
    <col min="4" max="4" width="16.375" style="13" hidden="1" customWidth="1"/>
    <col min="5" max="5" width="13.75390625" style="13" hidden="1" customWidth="1"/>
    <col min="6" max="6" width="12.00390625" style="13" hidden="1" customWidth="1"/>
    <col min="7" max="7" width="12.25390625" style="0" hidden="1" customWidth="1"/>
    <col min="8" max="8" width="12.00390625" style="0" hidden="1" customWidth="1"/>
    <col min="9" max="9" width="13.00390625" style="0" hidden="1" customWidth="1"/>
    <col min="10" max="11" width="12.00390625" style="0" hidden="1" customWidth="1"/>
    <col min="12" max="12" width="12.375" style="0" hidden="1" customWidth="1"/>
    <col min="13" max="13" width="12.625" style="0" hidden="1" customWidth="1"/>
    <col min="14" max="14" width="10.625" style="0" hidden="1" customWidth="1"/>
    <col min="15" max="15" width="10.375" style="0" hidden="1" customWidth="1"/>
    <col min="16" max="16" width="12.375" style="0" hidden="1" customWidth="1"/>
    <col min="17" max="17" width="11.25390625" style="0" hidden="1" customWidth="1"/>
    <col min="18" max="18" width="11.75390625" style="0" hidden="1" customWidth="1"/>
    <col min="19" max="19" width="11.625" style="0" hidden="1" customWidth="1"/>
    <col min="20" max="20" width="11.25390625" style="0" hidden="1" customWidth="1"/>
    <col min="21" max="21" width="11.75390625" style="0" hidden="1" customWidth="1"/>
    <col min="22" max="22" width="13.75390625" style="0" customWidth="1"/>
    <col min="23" max="23" width="12.75390625" style="0" customWidth="1"/>
    <col min="24" max="24" width="11.375" style="0" customWidth="1"/>
    <col min="25" max="25" width="13.125" style="0" customWidth="1"/>
    <col min="26" max="26" width="13.625" style="0" customWidth="1"/>
    <col min="27" max="27" width="18.00390625" style="0" customWidth="1"/>
    <col min="28" max="28" width="16.625" style="0" customWidth="1"/>
  </cols>
  <sheetData>
    <row r="1" spans="1:4" ht="15.75">
      <c r="A1" s="417" t="s">
        <v>198</v>
      </c>
      <c r="B1" s="417"/>
      <c r="C1" s="417"/>
      <c r="D1" s="417"/>
    </row>
    <row r="2" spans="1:5" ht="15.75">
      <c r="A2" s="438" t="s">
        <v>23</v>
      </c>
      <c r="B2" s="438"/>
      <c r="C2" s="438"/>
      <c r="D2" s="438"/>
      <c r="E2" s="438"/>
    </row>
    <row r="3" spans="1:6" ht="19.5" customHeight="1">
      <c r="A3" s="442" t="s">
        <v>24</v>
      </c>
      <c r="B3" s="442"/>
      <c r="C3" s="442"/>
      <c r="D3" s="442"/>
      <c r="E3" s="442"/>
      <c r="F3" s="442"/>
    </row>
    <row r="4" spans="1:28" ht="19.5" customHeight="1">
      <c r="A4" s="13"/>
      <c r="B4" s="13"/>
      <c r="C4" s="13"/>
      <c r="G4" s="85"/>
      <c r="H4" s="85"/>
      <c r="I4" s="85"/>
      <c r="J4" s="85"/>
      <c r="K4" s="85"/>
      <c r="L4" s="85"/>
      <c r="M4" s="86"/>
      <c r="N4" s="85"/>
      <c r="O4" s="86"/>
      <c r="P4" s="85"/>
      <c r="Q4" s="86"/>
      <c r="R4" s="85"/>
      <c r="S4" s="86"/>
      <c r="T4" s="86"/>
      <c r="U4" s="86"/>
      <c r="V4" s="86"/>
      <c r="W4" s="85"/>
      <c r="X4" s="85"/>
      <c r="Y4" s="86"/>
      <c r="Z4" s="388"/>
      <c r="AA4" s="282"/>
      <c r="AB4" s="282"/>
    </row>
    <row r="5" spans="1:28" ht="47.25">
      <c r="A5" s="87" t="s">
        <v>199</v>
      </c>
      <c r="B5" s="87" t="s">
        <v>200</v>
      </c>
      <c r="C5" s="88" t="s">
        <v>201</v>
      </c>
      <c r="D5" s="89" t="s">
        <v>202</v>
      </c>
      <c r="E5" s="89" t="s">
        <v>203</v>
      </c>
      <c r="F5" s="89" t="s">
        <v>204</v>
      </c>
      <c r="G5" s="59" t="s">
        <v>205</v>
      </c>
      <c r="H5" s="90" t="s">
        <v>206</v>
      </c>
      <c r="I5" s="90" t="s">
        <v>207</v>
      </c>
      <c r="J5" s="90" t="s">
        <v>208</v>
      </c>
      <c r="K5" s="90" t="s">
        <v>209</v>
      </c>
      <c r="L5" s="91" t="s">
        <v>210</v>
      </c>
      <c r="M5" s="92" t="s">
        <v>211</v>
      </c>
      <c r="N5" s="93" t="s">
        <v>212</v>
      </c>
      <c r="O5" s="94" t="s">
        <v>213</v>
      </c>
      <c r="P5" s="95" t="s">
        <v>214</v>
      </c>
      <c r="Q5" s="92" t="s">
        <v>215</v>
      </c>
      <c r="R5" s="96" t="s">
        <v>216</v>
      </c>
      <c r="S5" s="96" t="s">
        <v>217</v>
      </c>
      <c r="T5" s="97" t="s">
        <v>218</v>
      </c>
      <c r="U5" s="98" t="s">
        <v>219</v>
      </c>
      <c r="V5" s="99" t="s">
        <v>220</v>
      </c>
      <c r="W5" s="100" t="s">
        <v>221</v>
      </c>
      <c r="X5" s="100" t="s">
        <v>222</v>
      </c>
      <c r="Y5" s="99" t="s">
        <v>223</v>
      </c>
      <c r="Z5" s="99" t="s">
        <v>585</v>
      </c>
      <c r="AA5" s="390" t="s">
        <v>638</v>
      </c>
      <c r="AB5" s="390" t="s">
        <v>639</v>
      </c>
    </row>
    <row r="6" spans="1:28" ht="15.75">
      <c r="A6" s="101"/>
      <c r="B6" s="101" t="s">
        <v>224</v>
      </c>
      <c r="C6" s="101"/>
      <c r="D6" s="101"/>
      <c r="E6" s="101"/>
      <c r="F6" s="101"/>
      <c r="G6" s="85"/>
      <c r="H6" s="85"/>
      <c r="I6" s="85"/>
      <c r="J6" s="85"/>
      <c r="K6" s="85"/>
      <c r="L6" s="86"/>
      <c r="M6" s="86"/>
      <c r="N6" s="86"/>
      <c r="O6" s="86"/>
      <c r="P6" s="85"/>
      <c r="Q6" s="86"/>
      <c r="R6" s="85"/>
      <c r="S6" s="85"/>
      <c r="T6" s="85"/>
      <c r="U6" s="102"/>
      <c r="V6" s="86"/>
      <c r="W6" s="85"/>
      <c r="X6" s="85"/>
      <c r="Y6" s="86"/>
      <c r="Z6" s="388"/>
      <c r="AA6" s="282"/>
      <c r="AB6" s="282"/>
    </row>
    <row r="7" spans="1:28" ht="15.75">
      <c r="A7" s="103"/>
      <c r="B7" s="104">
        <v>38</v>
      </c>
      <c r="C7" s="103" t="s">
        <v>225</v>
      </c>
      <c r="D7" s="105">
        <v>22</v>
      </c>
      <c r="E7" s="105">
        <v>33</v>
      </c>
      <c r="F7" s="105">
        <v>36</v>
      </c>
      <c r="G7" s="105">
        <v>36</v>
      </c>
      <c r="H7" s="105">
        <v>36</v>
      </c>
      <c r="I7" s="105">
        <v>36</v>
      </c>
      <c r="J7" s="106">
        <v>35</v>
      </c>
      <c r="K7" s="106">
        <v>36</v>
      </c>
      <c r="L7" s="107">
        <v>36</v>
      </c>
      <c r="M7" s="107">
        <v>36</v>
      </c>
      <c r="N7" s="107">
        <v>36</v>
      </c>
      <c r="O7" s="107">
        <v>35</v>
      </c>
      <c r="P7" s="108">
        <v>36</v>
      </c>
      <c r="Q7" s="109">
        <v>36</v>
      </c>
      <c r="R7" s="108">
        <v>36</v>
      </c>
      <c r="S7" s="85">
        <v>36</v>
      </c>
      <c r="T7" s="85">
        <v>36</v>
      </c>
      <c r="U7" s="86">
        <v>38</v>
      </c>
      <c r="V7" s="86">
        <v>38</v>
      </c>
      <c r="W7" s="85">
        <v>38</v>
      </c>
      <c r="X7" s="85">
        <v>40</v>
      </c>
      <c r="Y7" s="86">
        <v>38</v>
      </c>
      <c r="Z7" s="388">
        <v>38</v>
      </c>
      <c r="AA7" s="283">
        <v>37</v>
      </c>
      <c r="AB7" s="402">
        <v>36</v>
      </c>
    </row>
    <row r="8" spans="1:28" ht="15.75">
      <c r="A8" s="103"/>
      <c r="B8" s="110" t="s">
        <v>226</v>
      </c>
      <c r="C8" s="103" t="s">
        <v>225</v>
      </c>
      <c r="D8" s="111">
        <v>5</v>
      </c>
      <c r="E8" s="111">
        <v>5</v>
      </c>
      <c r="F8" s="111">
        <v>6</v>
      </c>
      <c r="G8" s="105">
        <v>6</v>
      </c>
      <c r="H8" s="105">
        <v>6</v>
      </c>
      <c r="I8" s="105">
        <v>6</v>
      </c>
      <c r="J8" s="106">
        <v>6</v>
      </c>
      <c r="K8" s="106">
        <v>6</v>
      </c>
      <c r="L8" s="107">
        <v>5</v>
      </c>
      <c r="M8" s="107">
        <v>5</v>
      </c>
      <c r="N8" s="107">
        <v>5</v>
      </c>
      <c r="O8" s="107">
        <v>5</v>
      </c>
      <c r="P8" s="108">
        <v>5</v>
      </c>
      <c r="Q8" s="109">
        <v>5</v>
      </c>
      <c r="R8" s="108">
        <v>5</v>
      </c>
      <c r="S8" s="85">
        <v>5</v>
      </c>
      <c r="T8" s="85">
        <v>5</v>
      </c>
      <c r="U8" s="86">
        <v>5</v>
      </c>
      <c r="V8" s="86">
        <v>5</v>
      </c>
      <c r="W8" s="85">
        <v>5</v>
      </c>
      <c r="X8" s="85">
        <v>5</v>
      </c>
      <c r="Y8" s="86">
        <v>5</v>
      </c>
      <c r="Z8" s="388">
        <v>5</v>
      </c>
      <c r="AA8" s="283">
        <v>5</v>
      </c>
      <c r="AB8" s="283">
        <v>5</v>
      </c>
    </row>
    <row r="9" spans="1:28" ht="15.75">
      <c r="A9" s="103"/>
      <c r="B9" s="104" t="s">
        <v>227</v>
      </c>
      <c r="C9" s="103" t="s">
        <v>225</v>
      </c>
      <c r="D9" s="112">
        <v>1</v>
      </c>
      <c r="E9" s="112">
        <v>1</v>
      </c>
      <c r="F9" s="112">
        <v>1</v>
      </c>
      <c r="G9" s="105">
        <v>1</v>
      </c>
      <c r="H9" s="105">
        <v>1</v>
      </c>
      <c r="I9" s="105">
        <v>1</v>
      </c>
      <c r="J9" s="106">
        <v>1</v>
      </c>
      <c r="K9" s="106">
        <v>1</v>
      </c>
      <c r="L9" s="107">
        <v>1</v>
      </c>
      <c r="M9" s="107">
        <v>1</v>
      </c>
      <c r="N9" s="107">
        <v>1</v>
      </c>
      <c r="O9" s="107">
        <v>1</v>
      </c>
      <c r="P9" s="108">
        <v>1</v>
      </c>
      <c r="Q9" s="109">
        <v>1</v>
      </c>
      <c r="R9" s="108">
        <v>1</v>
      </c>
      <c r="S9" s="85">
        <v>1</v>
      </c>
      <c r="T9" s="85">
        <v>1</v>
      </c>
      <c r="U9" s="86">
        <v>1</v>
      </c>
      <c r="V9" s="86">
        <v>1</v>
      </c>
      <c r="W9" s="85">
        <v>1</v>
      </c>
      <c r="X9" s="85">
        <v>1</v>
      </c>
      <c r="Y9" s="86">
        <v>1</v>
      </c>
      <c r="Z9" s="388">
        <v>1</v>
      </c>
      <c r="AA9" s="283">
        <v>1</v>
      </c>
      <c r="AB9" s="283">
        <v>1</v>
      </c>
    </row>
    <row r="10" spans="1:28" ht="15.75">
      <c r="A10" s="103"/>
      <c r="B10" s="104" t="s">
        <v>228</v>
      </c>
      <c r="C10" s="103" t="s">
        <v>225</v>
      </c>
      <c r="D10" s="112">
        <v>1</v>
      </c>
      <c r="E10" s="112">
        <v>1</v>
      </c>
      <c r="F10" s="112">
        <v>2</v>
      </c>
      <c r="G10" s="105">
        <v>2</v>
      </c>
      <c r="H10" s="105">
        <v>2</v>
      </c>
      <c r="I10" s="105">
        <v>2</v>
      </c>
      <c r="J10" s="106">
        <v>2</v>
      </c>
      <c r="K10" s="106">
        <v>2</v>
      </c>
      <c r="L10" s="107">
        <v>1</v>
      </c>
      <c r="M10" s="107">
        <v>1</v>
      </c>
      <c r="N10" s="107">
        <v>1</v>
      </c>
      <c r="O10" s="107">
        <v>1</v>
      </c>
      <c r="P10" s="108">
        <v>1</v>
      </c>
      <c r="Q10" s="109">
        <v>1</v>
      </c>
      <c r="R10" s="108">
        <v>1</v>
      </c>
      <c r="S10" s="85">
        <v>1</v>
      </c>
      <c r="T10" s="85">
        <v>1</v>
      </c>
      <c r="U10" s="86">
        <v>1</v>
      </c>
      <c r="V10" s="86">
        <v>1</v>
      </c>
      <c r="W10" s="85">
        <v>1</v>
      </c>
      <c r="X10" s="85">
        <v>1</v>
      </c>
      <c r="Y10" s="86">
        <v>1</v>
      </c>
      <c r="Z10" s="388">
        <v>1</v>
      </c>
      <c r="AA10" s="283">
        <v>1</v>
      </c>
      <c r="AB10" s="283">
        <v>1</v>
      </c>
    </row>
    <row r="11" spans="1:28" ht="15.75">
      <c r="A11" s="103"/>
      <c r="B11" s="104" t="s">
        <v>229</v>
      </c>
      <c r="C11" s="103" t="s">
        <v>225</v>
      </c>
      <c r="D11" s="112">
        <v>1</v>
      </c>
      <c r="E11" s="112">
        <v>1</v>
      </c>
      <c r="F11" s="112">
        <v>1</v>
      </c>
      <c r="G11" s="105">
        <v>1</v>
      </c>
      <c r="H11" s="105">
        <v>1</v>
      </c>
      <c r="I11" s="105">
        <v>1</v>
      </c>
      <c r="J11" s="106">
        <v>1</v>
      </c>
      <c r="K11" s="106">
        <v>1</v>
      </c>
      <c r="L11" s="107">
        <v>1</v>
      </c>
      <c r="M11" s="107">
        <v>1</v>
      </c>
      <c r="N11" s="107">
        <v>1</v>
      </c>
      <c r="O11" s="107">
        <v>1</v>
      </c>
      <c r="P11" s="108">
        <v>1</v>
      </c>
      <c r="Q11" s="109">
        <v>1</v>
      </c>
      <c r="R11" s="108">
        <v>1</v>
      </c>
      <c r="S11" s="85">
        <v>1</v>
      </c>
      <c r="T11" s="85">
        <v>1</v>
      </c>
      <c r="U11" s="86">
        <v>1</v>
      </c>
      <c r="V11" s="86">
        <v>1</v>
      </c>
      <c r="W11" s="85">
        <v>1</v>
      </c>
      <c r="X11" s="85">
        <v>1</v>
      </c>
      <c r="Y11" s="86">
        <v>1</v>
      </c>
      <c r="Z11" s="388">
        <v>1</v>
      </c>
      <c r="AA11" s="283">
        <v>1</v>
      </c>
      <c r="AB11" s="283">
        <v>1</v>
      </c>
    </row>
    <row r="12" spans="1:28" ht="15.75">
      <c r="A12" s="103"/>
      <c r="B12" s="104" t="s">
        <v>230</v>
      </c>
      <c r="C12" s="103" t="s">
        <v>225</v>
      </c>
      <c r="D12" s="112">
        <v>2</v>
      </c>
      <c r="E12" s="112">
        <v>2</v>
      </c>
      <c r="F12" s="112">
        <v>2</v>
      </c>
      <c r="G12" s="105">
        <v>2</v>
      </c>
      <c r="H12" s="105">
        <v>2</v>
      </c>
      <c r="I12" s="105">
        <v>2</v>
      </c>
      <c r="J12" s="106">
        <v>2</v>
      </c>
      <c r="K12" s="106">
        <v>2</v>
      </c>
      <c r="L12" s="107">
        <v>2</v>
      </c>
      <c r="M12" s="107">
        <v>2</v>
      </c>
      <c r="N12" s="107">
        <v>2</v>
      </c>
      <c r="O12" s="107">
        <v>2</v>
      </c>
      <c r="P12" s="108">
        <v>2</v>
      </c>
      <c r="Q12" s="109">
        <v>2</v>
      </c>
      <c r="R12" s="108">
        <v>2</v>
      </c>
      <c r="S12" s="85">
        <v>2</v>
      </c>
      <c r="T12" s="85">
        <v>2</v>
      </c>
      <c r="U12" s="86">
        <v>2</v>
      </c>
      <c r="V12" s="86">
        <v>2</v>
      </c>
      <c r="W12" s="85">
        <v>2</v>
      </c>
      <c r="X12" s="85">
        <v>2</v>
      </c>
      <c r="Y12" s="86">
        <v>2</v>
      </c>
      <c r="Z12" s="388">
        <v>2</v>
      </c>
      <c r="AA12" s="283">
        <v>2</v>
      </c>
      <c r="AB12" s="283">
        <v>2</v>
      </c>
    </row>
    <row r="13" spans="1:28" ht="15.75">
      <c r="A13" s="103"/>
      <c r="B13" s="57" t="s">
        <v>231</v>
      </c>
      <c r="C13" s="103" t="s">
        <v>225</v>
      </c>
      <c r="D13" s="112">
        <v>12</v>
      </c>
      <c r="E13" s="112">
        <v>21</v>
      </c>
      <c r="F13" s="112">
        <v>21</v>
      </c>
      <c r="G13" s="105">
        <v>21</v>
      </c>
      <c r="H13" s="105">
        <v>22</v>
      </c>
      <c r="I13" s="105">
        <v>22</v>
      </c>
      <c r="J13" s="106">
        <v>21</v>
      </c>
      <c r="K13" s="106">
        <v>22</v>
      </c>
      <c r="L13" s="107">
        <v>22</v>
      </c>
      <c r="M13" s="107">
        <v>22</v>
      </c>
      <c r="N13" s="107">
        <v>22</v>
      </c>
      <c r="O13" s="107">
        <v>22</v>
      </c>
      <c r="P13" s="108">
        <v>22</v>
      </c>
      <c r="Q13" s="109">
        <v>22</v>
      </c>
      <c r="R13" s="108">
        <v>22</v>
      </c>
      <c r="S13" s="85">
        <v>22</v>
      </c>
      <c r="T13" s="85">
        <v>22</v>
      </c>
      <c r="U13" s="86">
        <v>24</v>
      </c>
      <c r="V13" s="86">
        <v>24</v>
      </c>
      <c r="W13" s="85">
        <v>24</v>
      </c>
      <c r="X13" s="85">
        <v>27</v>
      </c>
      <c r="Y13" s="86">
        <v>25</v>
      </c>
      <c r="Z13" s="388">
        <v>25</v>
      </c>
      <c r="AA13" s="283">
        <v>24</v>
      </c>
      <c r="AB13" s="282">
        <v>24</v>
      </c>
    </row>
    <row r="14" spans="1:28" ht="15.75">
      <c r="A14" s="103"/>
      <c r="B14" s="110" t="s">
        <v>232</v>
      </c>
      <c r="C14" s="103" t="s">
        <v>225</v>
      </c>
      <c r="D14" s="112">
        <v>1</v>
      </c>
      <c r="E14" s="112">
        <v>2</v>
      </c>
      <c r="F14" s="112">
        <v>4</v>
      </c>
      <c r="G14" s="105">
        <v>4</v>
      </c>
      <c r="H14" s="105">
        <v>3</v>
      </c>
      <c r="I14" s="105">
        <v>3</v>
      </c>
      <c r="J14" s="106">
        <v>3</v>
      </c>
      <c r="K14" s="106">
        <v>3</v>
      </c>
      <c r="L14" s="107">
        <v>3</v>
      </c>
      <c r="M14" s="107">
        <v>3</v>
      </c>
      <c r="N14" s="107">
        <v>3</v>
      </c>
      <c r="O14" s="107">
        <v>3</v>
      </c>
      <c r="P14" s="108">
        <v>3</v>
      </c>
      <c r="Q14" s="109">
        <v>3</v>
      </c>
      <c r="R14" s="108">
        <v>3</v>
      </c>
      <c r="S14" s="85">
        <v>3</v>
      </c>
      <c r="T14" s="85">
        <v>3</v>
      </c>
      <c r="U14" s="86">
        <v>3</v>
      </c>
      <c r="V14" s="86">
        <v>3</v>
      </c>
      <c r="W14" s="85">
        <v>3</v>
      </c>
      <c r="X14" s="85">
        <v>2</v>
      </c>
      <c r="Y14" s="86">
        <v>2</v>
      </c>
      <c r="Z14" s="388">
        <v>2</v>
      </c>
      <c r="AA14" s="283">
        <v>2</v>
      </c>
      <c r="AB14" s="283">
        <v>2</v>
      </c>
    </row>
    <row r="15" spans="1:28" ht="15.75">
      <c r="A15" s="103"/>
      <c r="B15" s="113" t="s">
        <v>233</v>
      </c>
      <c r="C15" s="114" t="s">
        <v>225</v>
      </c>
      <c r="D15" s="111" t="s">
        <v>63</v>
      </c>
      <c r="E15" s="111" t="s">
        <v>63</v>
      </c>
      <c r="F15" s="111" t="s">
        <v>63</v>
      </c>
      <c r="G15" s="111" t="s">
        <v>63</v>
      </c>
      <c r="H15" s="111" t="s">
        <v>63</v>
      </c>
      <c r="I15" s="111" t="s">
        <v>63</v>
      </c>
      <c r="J15" s="115" t="s">
        <v>63</v>
      </c>
      <c r="K15" s="115" t="s">
        <v>63</v>
      </c>
      <c r="L15" s="107">
        <v>1</v>
      </c>
      <c r="M15" s="107">
        <v>1</v>
      </c>
      <c r="N15" s="107">
        <v>1</v>
      </c>
      <c r="O15" s="107"/>
      <c r="P15" s="108">
        <v>1</v>
      </c>
      <c r="Q15" s="109">
        <v>1</v>
      </c>
      <c r="R15" s="108">
        <v>1</v>
      </c>
      <c r="S15" s="85">
        <v>1</v>
      </c>
      <c r="T15" s="85">
        <v>1</v>
      </c>
      <c r="U15" s="86">
        <v>1</v>
      </c>
      <c r="V15" s="86">
        <v>1</v>
      </c>
      <c r="W15" s="85">
        <v>1</v>
      </c>
      <c r="X15" s="85">
        <v>1</v>
      </c>
      <c r="Y15" s="86">
        <v>1</v>
      </c>
      <c r="Z15" s="388">
        <v>1</v>
      </c>
      <c r="AA15" s="283">
        <v>1</v>
      </c>
      <c r="AB15" s="283">
        <v>1</v>
      </c>
    </row>
    <row r="16" spans="1:28" ht="15.75">
      <c r="A16" s="103"/>
      <c r="B16" s="113" t="s">
        <v>234</v>
      </c>
      <c r="C16" s="114" t="s">
        <v>225</v>
      </c>
      <c r="D16" s="112">
        <v>4</v>
      </c>
      <c r="E16" s="112">
        <v>5</v>
      </c>
      <c r="F16" s="112">
        <v>5</v>
      </c>
      <c r="G16" s="105">
        <v>5</v>
      </c>
      <c r="H16" s="105">
        <v>5</v>
      </c>
      <c r="I16" s="105">
        <v>5</v>
      </c>
      <c r="J16" s="106">
        <v>5</v>
      </c>
      <c r="K16" s="106">
        <v>5</v>
      </c>
      <c r="L16" s="107">
        <v>5</v>
      </c>
      <c r="M16" s="107">
        <v>5</v>
      </c>
      <c r="N16" s="107">
        <v>5</v>
      </c>
      <c r="O16" s="107">
        <v>5</v>
      </c>
      <c r="P16" s="108">
        <v>5</v>
      </c>
      <c r="Q16" s="109">
        <v>5</v>
      </c>
      <c r="R16" s="108">
        <v>5</v>
      </c>
      <c r="S16" s="85">
        <v>5</v>
      </c>
      <c r="T16" s="85">
        <v>5</v>
      </c>
      <c r="U16" s="86">
        <v>5</v>
      </c>
      <c r="V16" s="86">
        <v>5</v>
      </c>
      <c r="W16" s="85">
        <v>5</v>
      </c>
      <c r="X16" s="85">
        <v>5</v>
      </c>
      <c r="Y16" s="86">
        <v>5</v>
      </c>
      <c r="Z16" s="388">
        <v>5</v>
      </c>
      <c r="AA16" s="283">
        <v>4</v>
      </c>
      <c r="AB16" s="283">
        <v>4</v>
      </c>
    </row>
    <row r="17" spans="1:28" ht="15.75">
      <c r="A17" s="101"/>
      <c r="B17" s="101" t="s">
        <v>235</v>
      </c>
      <c r="C17" s="101"/>
      <c r="D17" s="116"/>
      <c r="E17" s="116"/>
      <c r="F17" s="116"/>
      <c r="G17" s="105"/>
      <c r="H17" s="105"/>
      <c r="I17" s="117"/>
      <c r="J17" s="106"/>
      <c r="K17" s="106"/>
      <c r="L17" s="107"/>
      <c r="M17" s="107"/>
      <c r="N17" s="107"/>
      <c r="O17" s="107"/>
      <c r="P17" s="108"/>
      <c r="Q17" s="109"/>
      <c r="R17" s="108"/>
      <c r="S17" s="85"/>
      <c r="T17" s="85"/>
      <c r="U17" s="86"/>
      <c r="V17" s="86"/>
      <c r="W17" s="85"/>
      <c r="X17" s="85"/>
      <c r="Y17" s="86"/>
      <c r="Z17" s="388"/>
      <c r="AA17" s="282"/>
      <c r="AB17" s="282"/>
    </row>
    <row r="18" spans="1:28" ht="15.75">
      <c r="A18" s="103"/>
      <c r="B18" s="104" t="s">
        <v>236</v>
      </c>
      <c r="C18" s="103" t="s">
        <v>237</v>
      </c>
      <c r="D18" s="105">
        <v>24</v>
      </c>
      <c r="E18" s="105">
        <v>33</v>
      </c>
      <c r="F18" s="105">
        <v>35</v>
      </c>
      <c r="G18" s="105">
        <v>35</v>
      </c>
      <c r="H18" s="105">
        <v>35</v>
      </c>
      <c r="I18" s="105">
        <v>35</v>
      </c>
      <c r="J18" s="106">
        <v>35</v>
      </c>
      <c r="K18" s="106">
        <v>35</v>
      </c>
      <c r="L18" s="107">
        <v>35</v>
      </c>
      <c r="M18" s="107">
        <v>35</v>
      </c>
      <c r="N18" s="107">
        <v>35</v>
      </c>
      <c r="O18" s="107">
        <v>35</v>
      </c>
      <c r="P18" s="108">
        <v>35</v>
      </c>
      <c r="Q18" s="109">
        <v>35</v>
      </c>
      <c r="R18" s="108">
        <v>35</v>
      </c>
      <c r="S18" s="85">
        <v>35</v>
      </c>
      <c r="T18" s="85">
        <v>35</v>
      </c>
      <c r="U18" s="86">
        <v>36</v>
      </c>
      <c r="V18" s="86">
        <v>36</v>
      </c>
      <c r="W18" s="85">
        <v>36</v>
      </c>
      <c r="X18" s="85">
        <v>36</v>
      </c>
      <c r="Y18" s="86">
        <v>36</v>
      </c>
      <c r="Z18" s="388">
        <v>36</v>
      </c>
      <c r="AA18" s="283">
        <v>38</v>
      </c>
      <c r="AB18" s="283">
        <v>38</v>
      </c>
    </row>
    <row r="19" spans="1:28" ht="15.75">
      <c r="A19" s="103"/>
      <c r="B19" s="110" t="s">
        <v>226</v>
      </c>
      <c r="C19" s="103" t="s">
        <v>237</v>
      </c>
      <c r="D19" s="105">
        <v>5</v>
      </c>
      <c r="E19" s="105">
        <v>6</v>
      </c>
      <c r="F19" s="105">
        <v>6</v>
      </c>
      <c r="G19" s="105">
        <v>6</v>
      </c>
      <c r="H19" s="105">
        <v>6</v>
      </c>
      <c r="I19" s="105">
        <v>6</v>
      </c>
      <c r="J19" s="106">
        <v>6</v>
      </c>
      <c r="K19" s="106">
        <v>6</v>
      </c>
      <c r="L19" s="107">
        <v>5</v>
      </c>
      <c r="M19" s="107">
        <v>5</v>
      </c>
      <c r="N19" s="107">
        <v>5</v>
      </c>
      <c r="O19" s="107">
        <v>5</v>
      </c>
      <c r="P19" s="108">
        <v>5</v>
      </c>
      <c r="Q19" s="109">
        <v>5</v>
      </c>
      <c r="R19" s="108">
        <v>5</v>
      </c>
      <c r="S19" s="85">
        <v>5</v>
      </c>
      <c r="T19" s="85">
        <v>5</v>
      </c>
      <c r="U19" s="86">
        <v>5</v>
      </c>
      <c r="V19" s="86">
        <v>5</v>
      </c>
      <c r="W19" s="85">
        <v>5</v>
      </c>
      <c r="X19" s="85">
        <v>5</v>
      </c>
      <c r="Y19" s="86">
        <v>5</v>
      </c>
      <c r="Z19" s="388">
        <v>5</v>
      </c>
      <c r="AA19" s="283">
        <v>5</v>
      </c>
      <c r="AB19" s="283">
        <v>5</v>
      </c>
    </row>
    <row r="20" spans="1:28" ht="15.75">
      <c r="A20" s="103"/>
      <c r="B20" s="104" t="s">
        <v>227</v>
      </c>
      <c r="C20" s="103" t="s">
        <v>237</v>
      </c>
      <c r="D20" s="112">
        <v>1</v>
      </c>
      <c r="E20" s="112">
        <v>1</v>
      </c>
      <c r="F20" s="112">
        <v>1</v>
      </c>
      <c r="G20" s="105">
        <v>1</v>
      </c>
      <c r="H20" s="105">
        <v>1</v>
      </c>
      <c r="I20" s="105">
        <v>1</v>
      </c>
      <c r="J20" s="106">
        <v>1</v>
      </c>
      <c r="K20" s="106">
        <v>1</v>
      </c>
      <c r="L20" s="107">
        <v>1</v>
      </c>
      <c r="M20" s="107">
        <v>1</v>
      </c>
      <c r="N20" s="107">
        <v>1</v>
      </c>
      <c r="O20" s="107">
        <v>1</v>
      </c>
      <c r="P20" s="108">
        <v>1</v>
      </c>
      <c r="Q20" s="109">
        <v>1</v>
      </c>
      <c r="R20" s="108">
        <v>1</v>
      </c>
      <c r="S20" s="85">
        <v>1</v>
      </c>
      <c r="T20" s="85">
        <v>1</v>
      </c>
      <c r="U20" s="86">
        <v>1</v>
      </c>
      <c r="V20" s="86">
        <v>1</v>
      </c>
      <c r="W20" s="85">
        <v>1</v>
      </c>
      <c r="X20" s="85">
        <v>1</v>
      </c>
      <c r="Y20" s="86">
        <v>1</v>
      </c>
      <c r="Z20" s="388">
        <v>1</v>
      </c>
      <c r="AA20" s="283">
        <v>1</v>
      </c>
      <c r="AB20" s="283">
        <v>1</v>
      </c>
    </row>
    <row r="21" spans="1:28" ht="15.75">
      <c r="A21" s="103"/>
      <c r="B21" s="104" t="s">
        <v>228</v>
      </c>
      <c r="C21" s="103" t="s">
        <v>237</v>
      </c>
      <c r="D21" s="112">
        <v>1</v>
      </c>
      <c r="E21" s="112">
        <v>2</v>
      </c>
      <c r="F21" s="112">
        <v>2</v>
      </c>
      <c r="G21" s="105">
        <v>2</v>
      </c>
      <c r="H21" s="105">
        <v>2</v>
      </c>
      <c r="I21" s="105">
        <v>2</v>
      </c>
      <c r="J21" s="106">
        <v>2</v>
      </c>
      <c r="K21" s="106">
        <v>2</v>
      </c>
      <c r="L21" s="107">
        <v>1</v>
      </c>
      <c r="M21" s="107">
        <v>1</v>
      </c>
      <c r="N21" s="107">
        <v>1</v>
      </c>
      <c r="O21" s="107">
        <v>1</v>
      </c>
      <c r="P21" s="108">
        <v>1</v>
      </c>
      <c r="Q21" s="109">
        <v>1</v>
      </c>
      <c r="R21" s="108">
        <v>1</v>
      </c>
      <c r="S21" s="85">
        <v>1</v>
      </c>
      <c r="T21" s="85">
        <v>1</v>
      </c>
      <c r="U21" s="86">
        <v>1</v>
      </c>
      <c r="V21" s="86">
        <v>1</v>
      </c>
      <c r="W21" s="85">
        <v>1</v>
      </c>
      <c r="X21" s="85">
        <v>1</v>
      </c>
      <c r="Y21" s="86">
        <v>1</v>
      </c>
      <c r="Z21" s="388">
        <v>1</v>
      </c>
      <c r="AA21" s="283">
        <v>1</v>
      </c>
      <c r="AB21" s="283">
        <v>1</v>
      </c>
    </row>
    <row r="22" spans="1:28" ht="15.75">
      <c r="A22" s="103"/>
      <c r="B22" s="104" t="s">
        <v>229</v>
      </c>
      <c r="C22" s="103" t="s">
        <v>237</v>
      </c>
      <c r="D22" s="112">
        <v>1</v>
      </c>
      <c r="E22" s="112">
        <v>1</v>
      </c>
      <c r="F22" s="112">
        <v>1</v>
      </c>
      <c r="G22" s="105">
        <v>1</v>
      </c>
      <c r="H22" s="105">
        <v>1</v>
      </c>
      <c r="I22" s="105">
        <v>1</v>
      </c>
      <c r="J22" s="106">
        <v>1</v>
      </c>
      <c r="K22" s="106">
        <v>1</v>
      </c>
      <c r="L22" s="107">
        <v>1</v>
      </c>
      <c r="M22" s="107">
        <v>1</v>
      </c>
      <c r="N22" s="107">
        <v>1</v>
      </c>
      <c r="O22" s="107">
        <v>1</v>
      </c>
      <c r="P22" s="108">
        <v>1</v>
      </c>
      <c r="Q22" s="109">
        <v>1</v>
      </c>
      <c r="R22" s="108">
        <v>1</v>
      </c>
      <c r="S22" s="85">
        <v>1</v>
      </c>
      <c r="T22" s="85">
        <v>1</v>
      </c>
      <c r="U22" s="86">
        <v>1</v>
      </c>
      <c r="V22" s="86">
        <v>1</v>
      </c>
      <c r="W22" s="85">
        <v>1</v>
      </c>
      <c r="X22" s="85">
        <v>1</v>
      </c>
      <c r="Y22" s="86">
        <v>1</v>
      </c>
      <c r="Z22" s="388">
        <v>1</v>
      </c>
      <c r="AA22" s="283">
        <v>1</v>
      </c>
      <c r="AB22" s="283">
        <v>1</v>
      </c>
    </row>
    <row r="23" spans="1:28" ht="15.75">
      <c r="A23" s="103"/>
      <c r="B23" s="104" t="s">
        <v>238</v>
      </c>
      <c r="C23" s="103" t="s">
        <v>237</v>
      </c>
      <c r="D23" s="112">
        <v>2</v>
      </c>
      <c r="E23" s="112">
        <v>2</v>
      </c>
      <c r="F23" s="112">
        <v>2</v>
      </c>
      <c r="G23" s="105">
        <v>2</v>
      </c>
      <c r="H23" s="105">
        <v>2</v>
      </c>
      <c r="I23" s="105">
        <v>2</v>
      </c>
      <c r="J23" s="106">
        <v>2</v>
      </c>
      <c r="K23" s="106">
        <v>2</v>
      </c>
      <c r="L23" s="107">
        <v>2</v>
      </c>
      <c r="M23" s="107">
        <v>2</v>
      </c>
      <c r="N23" s="107">
        <v>2</v>
      </c>
      <c r="O23" s="107">
        <v>2</v>
      </c>
      <c r="P23" s="108">
        <v>2</v>
      </c>
      <c r="Q23" s="109">
        <v>2</v>
      </c>
      <c r="R23" s="108">
        <v>2</v>
      </c>
      <c r="S23" s="85">
        <v>2</v>
      </c>
      <c r="T23" s="85">
        <v>2</v>
      </c>
      <c r="U23" s="86">
        <v>2</v>
      </c>
      <c r="V23" s="86">
        <v>2</v>
      </c>
      <c r="W23" s="85">
        <v>2</v>
      </c>
      <c r="X23" s="85">
        <v>2</v>
      </c>
      <c r="Y23" s="86">
        <v>2</v>
      </c>
      <c r="Z23" s="388">
        <v>2</v>
      </c>
      <c r="AA23" s="283">
        <v>2</v>
      </c>
      <c r="AB23" s="283">
        <v>2</v>
      </c>
    </row>
    <row r="24" spans="1:28" ht="15.75">
      <c r="A24" s="103"/>
      <c r="B24" s="57" t="s">
        <v>231</v>
      </c>
      <c r="C24" s="114" t="s">
        <v>237</v>
      </c>
      <c r="D24" s="111">
        <v>12</v>
      </c>
      <c r="E24" s="111">
        <v>20</v>
      </c>
      <c r="F24" s="111">
        <v>20</v>
      </c>
      <c r="G24" s="105">
        <v>20</v>
      </c>
      <c r="H24" s="105">
        <v>21</v>
      </c>
      <c r="I24" s="105">
        <v>21</v>
      </c>
      <c r="J24" s="106">
        <v>21</v>
      </c>
      <c r="K24" s="106">
        <v>21</v>
      </c>
      <c r="L24" s="107">
        <v>21</v>
      </c>
      <c r="M24" s="107">
        <v>21</v>
      </c>
      <c r="N24" s="107">
        <v>21</v>
      </c>
      <c r="O24" s="107">
        <v>21</v>
      </c>
      <c r="P24" s="108">
        <v>21</v>
      </c>
      <c r="Q24" s="109">
        <v>21</v>
      </c>
      <c r="R24" s="108">
        <v>21</v>
      </c>
      <c r="S24" s="85">
        <v>21</v>
      </c>
      <c r="T24" s="85">
        <v>21</v>
      </c>
      <c r="U24" s="86">
        <v>22</v>
      </c>
      <c r="V24" s="86">
        <v>22</v>
      </c>
      <c r="W24" s="85">
        <v>22</v>
      </c>
      <c r="X24" s="85">
        <v>23.5</v>
      </c>
      <c r="Y24" s="86">
        <v>23.5</v>
      </c>
      <c r="Z24" s="388">
        <v>23.5</v>
      </c>
      <c r="AA24" s="283">
        <v>25.5</v>
      </c>
      <c r="AB24" s="283">
        <v>25.5</v>
      </c>
    </row>
    <row r="25" spans="1:28" ht="15.75">
      <c r="A25" s="103"/>
      <c r="B25" s="110" t="s">
        <v>232</v>
      </c>
      <c r="C25" s="114" t="s">
        <v>237</v>
      </c>
      <c r="D25" s="112">
        <v>1</v>
      </c>
      <c r="E25" s="112">
        <v>2</v>
      </c>
      <c r="F25" s="112">
        <v>4</v>
      </c>
      <c r="G25" s="105">
        <v>4</v>
      </c>
      <c r="H25" s="105">
        <v>3</v>
      </c>
      <c r="I25" s="105">
        <v>3</v>
      </c>
      <c r="J25" s="106">
        <v>3</v>
      </c>
      <c r="K25" s="106">
        <v>3</v>
      </c>
      <c r="L25" s="107">
        <v>3</v>
      </c>
      <c r="M25" s="107">
        <v>3</v>
      </c>
      <c r="N25" s="107">
        <v>3</v>
      </c>
      <c r="O25" s="107">
        <v>3</v>
      </c>
      <c r="P25" s="108">
        <v>3</v>
      </c>
      <c r="Q25" s="109">
        <v>3</v>
      </c>
      <c r="R25" s="108">
        <v>3</v>
      </c>
      <c r="S25" s="85">
        <v>3</v>
      </c>
      <c r="T25" s="85">
        <v>3</v>
      </c>
      <c r="U25" s="86">
        <v>3</v>
      </c>
      <c r="V25" s="86">
        <v>3</v>
      </c>
      <c r="W25" s="85">
        <v>3</v>
      </c>
      <c r="X25" s="85">
        <v>2</v>
      </c>
      <c r="Y25" s="86">
        <v>2</v>
      </c>
      <c r="Z25" s="388">
        <v>2</v>
      </c>
      <c r="AA25" s="283">
        <v>2</v>
      </c>
      <c r="AB25" s="283">
        <v>2</v>
      </c>
    </row>
    <row r="26" spans="1:28" ht="15.75">
      <c r="A26" s="103"/>
      <c r="B26" s="113" t="s">
        <v>233</v>
      </c>
      <c r="C26" s="114" t="s">
        <v>237</v>
      </c>
      <c r="D26" s="112" t="s">
        <v>63</v>
      </c>
      <c r="E26" s="112" t="s">
        <v>63</v>
      </c>
      <c r="F26" s="112" t="s">
        <v>63</v>
      </c>
      <c r="G26" s="112" t="s">
        <v>63</v>
      </c>
      <c r="H26" s="112" t="s">
        <v>63</v>
      </c>
      <c r="I26" s="112" t="s">
        <v>63</v>
      </c>
      <c r="J26" s="118" t="s">
        <v>63</v>
      </c>
      <c r="K26" s="118" t="s">
        <v>63</v>
      </c>
      <c r="L26" s="107">
        <v>1</v>
      </c>
      <c r="M26" s="107">
        <v>1</v>
      </c>
      <c r="N26" s="107">
        <v>1</v>
      </c>
      <c r="O26" s="107">
        <v>1</v>
      </c>
      <c r="P26" s="108">
        <v>1</v>
      </c>
      <c r="Q26" s="109">
        <v>1</v>
      </c>
      <c r="R26" s="108">
        <v>1</v>
      </c>
      <c r="S26" s="85">
        <v>1</v>
      </c>
      <c r="T26" s="85">
        <v>1</v>
      </c>
      <c r="U26" s="86">
        <v>1</v>
      </c>
      <c r="V26" s="86">
        <v>1</v>
      </c>
      <c r="W26" s="85">
        <v>1</v>
      </c>
      <c r="X26" s="85">
        <v>1</v>
      </c>
      <c r="Y26" s="86">
        <v>1</v>
      </c>
      <c r="Z26" s="388">
        <v>1</v>
      </c>
      <c r="AA26" s="283">
        <v>1</v>
      </c>
      <c r="AB26" s="283">
        <v>1</v>
      </c>
    </row>
    <row r="27" spans="1:28" ht="15.75">
      <c r="A27" s="103"/>
      <c r="B27" s="113" t="s">
        <v>234</v>
      </c>
      <c r="C27" s="114" t="s">
        <v>237</v>
      </c>
      <c r="D27" s="112">
        <v>6</v>
      </c>
      <c r="E27" s="112">
        <v>5</v>
      </c>
      <c r="F27" s="112">
        <v>5</v>
      </c>
      <c r="G27" s="105">
        <v>5</v>
      </c>
      <c r="H27" s="105">
        <v>5</v>
      </c>
      <c r="I27" s="105">
        <v>5</v>
      </c>
      <c r="J27" s="106">
        <v>5</v>
      </c>
      <c r="K27" s="106">
        <v>5</v>
      </c>
      <c r="L27" s="107">
        <v>5</v>
      </c>
      <c r="M27" s="107">
        <v>5</v>
      </c>
      <c r="N27" s="107">
        <v>5</v>
      </c>
      <c r="O27" s="107">
        <v>5</v>
      </c>
      <c r="P27" s="108">
        <v>5</v>
      </c>
      <c r="Q27" s="109">
        <v>5</v>
      </c>
      <c r="R27" s="108">
        <v>5</v>
      </c>
      <c r="S27" s="85">
        <v>5</v>
      </c>
      <c r="T27" s="85">
        <v>5</v>
      </c>
      <c r="U27" s="86">
        <v>5</v>
      </c>
      <c r="V27" s="86">
        <v>5</v>
      </c>
      <c r="W27" s="85">
        <v>5</v>
      </c>
      <c r="X27" s="85">
        <v>4.5</v>
      </c>
      <c r="Y27" s="86">
        <v>4.5</v>
      </c>
      <c r="Z27" s="388">
        <v>4.5</v>
      </c>
      <c r="AA27" s="283">
        <v>4.5</v>
      </c>
      <c r="AB27" s="283">
        <v>4.5</v>
      </c>
    </row>
    <row r="28" spans="1:28" s="124" customFormat="1" ht="32.25" customHeight="1">
      <c r="A28" s="101"/>
      <c r="B28" s="63" t="s">
        <v>239</v>
      </c>
      <c r="C28" s="114" t="s">
        <v>225</v>
      </c>
      <c r="D28" s="116"/>
      <c r="E28" s="116"/>
      <c r="F28" s="116"/>
      <c r="G28" s="111"/>
      <c r="H28" s="111"/>
      <c r="I28" s="111"/>
      <c r="J28" s="115"/>
      <c r="K28" s="115"/>
      <c r="L28" s="119"/>
      <c r="M28" s="119"/>
      <c r="N28" s="119"/>
      <c r="O28" s="119"/>
      <c r="P28" s="120"/>
      <c r="Q28" s="121"/>
      <c r="R28" s="120"/>
      <c r="S28" s="122"/>
      <c r="T28" s="122"/>
      <c r="U28" s="123"/>
      <c r="V28" s="123"/>
      <c r="W28" s="122"/>
      <c r="X28" s="122"/>
      <c r="Y28" s="123"/>
      <c r="Z28" s="389"/>
      <c r="AA28" s="283"/>
      <c r="AB28" s="283"/>
    </row>
    <row r="29" spans="1:28" ht="15.75">
      <c r="A29" s="103"/>
      <c r="B29" s="104" t="s">
        <v>236</v>
      </c>
      <c r="C29" s="103" t="s">
        <v>225</v>
      </c>
      <c r="D29" s="116" t="s">
        <v>63</v>
      </c>
      <c r="E29" s="116">
        <v>1</v>
      </c>
      <c r="F29" s="116">
        <v>5</v>
      </c>
      <c r="G29" s="105">
        <v>7</v>
      </c>
      <c r="H29" s="105">
        <v>6</v>
      </c>
      <c r="I29" s="105">
        <v>6</v>
      </c>
      <c r="J29" s="106">
        <v>7</v>
      </c>
      <c r="K29" s="106">
        <v>5</v>
      </c>
      <c r="L29" s="107">
        <v>6</v>
      </c>
      <c r="M29" s="107">
        <v>6</v>
      </c>
      <c r="N29" s="107">
        <v>5</v>
      </c>
      <c r="O29" s="107">
        <v>5</v>
      </c>
      <c r="P29" s="108">
        <v>6</v>
      </c>
      <c r="Q29" s="109">
        <v>6</v>
      </c>
      <c r="R29" s="108">
        <v>6</v>
      </c>
      <c r="S29" s="85">
        <v>6</v>
      </c>
      <c r="T29" s="85">
        <v>6</v>
      </c>
      <c r="U29" s="86">
        <v>6</v>
      </c>
      <c r="V29" s="86">
        <v>7</v>
      </c>
      <c r="W29" s="85">
        <v>7</v>
      </c>
      <c r="X29" s="85">
        <v>8</v>
      </c>
      <c r="Y29" s="86">
        <v>8</v>
      </c>
      <c r="Z29" s="388">
        <v>8</v>
      </c>
      <c r="AA29" s="283">
        <v>8</v>
      </c>
      <c r="AB29" s="283">
        <v>7</v>
      </c>
    </row>
    <row r="30" spans="1:28" ht="15.75">
      <c r="A30" s="103"/>
      <c r="B30" s="110" t="s">
        <v>226</v>
      </c>
      <c r="C30" s="103" t="s">
        <v>225</v>
      </c>
      <c r="D30" s="116" t="s">
        <v>63</v>
      </c>
      <c r="E30" s="116" t="s">
        <v>63</v>
      </c>
      <c r="F30" s="116">
        <v>2</v>
      </c>
      <c r="G30" s="105">
        <v>2</v>
      </c>
      <c r="H30" s="105">
        <v>1</v>
      </c>
      <c r="I30" s="105">
        <v>1</v>
      </c>
      <c r="J30" s="106">
        <v>1</v>
      </c>
      <c r="K30" s="106">
        <v>1</v>
      </c>
      <c r="L30" s="107">
        <v>1</v>
      </c>
      <c r="M30" s="107"/>
      <c r="N30" s="107"/>
      <c r="O30" s="107"/>
      <c r="P30" s="108"/>
      <c r="Q30" s="109"/>
      <c r="R30" s="108"/>
      <c r="S30" s="85"/>
      <c r="T30" s="85"/>
      <c r="U30" s="86"/>
      <c r="V30" s="86"/>
      <c r="W30" s="85"/>
      <c r="X30" s="85"/>
      <c r="Y30" s="86"/>
      <c r="Z30" s="388"/>
      <c r="AA30" s="282"/>
      <c r="AB30" s="282"/>
    </row>
    <row r="31" spans="1:28" ht="15.75">
      <c r="A31" s="103"/>
      <c r="B31" s="104" t="s">
        <v>227</v>
      </c>
      <c r="C31" s="103" t="s">
        <v>225</v>
      </c>
      <c r="D31" s="116" t="s">
        <v>63</v>
      </c>
      <c r="E31" s="116" t="s">
        <v>63</v>
      </c>
      <c r="F31" s="116">
        <v>1</v>
      </c>
      <c r="G31" s="105">
        <v>1</v>
      </c>
      <c r="H31" s="105">
        <v>1</v>
      </c>
      <c r="I31" s="105">
        <v>1</v>
      </c>
      <c r="J31" s="106">
        <v>1</v>
      </c>
      <c r="K31" s="106">
        <v>1</v>
      </c>
      <c r="L31" s="107">
        <v>1</v>
      </c>
      <c r="M31" s="107">
        <v>1</v>
      </c>
      <c r="N31" s="107">
        <v>1</v>
      </c>
      <c r="O31" s="107">
        <v>1</v>
      </c>
      <c r="P31" s="108">
        <v>1</v>
      </c>
      <c r="Q31" s="109">
        <v>1</v>
      </c>
      <c r="R31" s="108">
        <v>1</v>
      </c>
      <c r="S31" s="85">
        <v>1</v>
      </c>
      <c r="T31" s="85">
        <v>1</v>
      </c>
      <c r="U31" s="86">
        <v>1</v>
      </c>
      <c r="V31" s="86">
        <v>1</v>
      </c>
      <c r="W31" s="85">
        <v>1</v>
      </c>
      <c r="X31" s="85">
        <v>1</v>
      </c>
      <c r="Y31" s="86">
        <v>1</v>
      </c>
      <c r="Z31" s="388">
        <v>1</v>
      </c>
      <c r="AA31" s="283">
        <v>1</v>
      </c>
      <c r="AB31" s="283">
        <v>1</v>
      </c>
    </row>
    <row r="32" spans="1:28" ht="15.75">
      <c r="A32" s="103"/>
      <c r="B32" s="104" t="s">
        <v>228</v>
      </c>
      <c r="C32" s="103" t="s">
        <v>225</v>
      </c>
      <c r="D32" s="116" t="s">
        <v>63</v>
      </c>
      <c r="E32" s="116" t="s">
        <v>63</v>
      </c>
      <c r="F32" s="116">
        <v>1</v>
      </c>
      <c r="G32" s="105">
        <v>1</v>
      </c>
      <c r="H32" s="116" t="s">
        <v>63</v>
      </c>
      <c r="I32" s="116" t="s">
        <v>63</v>
      </c>
      <c r="J32" s="125" t="s">
        <v>63</v>
      </c>
      <c r="K32" s="125" t="s">
        <v>63</v>
      </c>
      <c r="L32" s="126" t="s">
        <v>63</v>
      </c>
      <c r="M32" s="126" t="s">
        <v>63</v>
      </c>
      <c r="N32" s="126" t="s">
        <v>63</v>
      </c>
      <c r="O32" s="107"/>
      <c r="P32" s="108"/>
      <c r="Q32" s="109"/>
      <c r="R32" s="108"/>
      <c r="S32" s="85"/>
      <c r="T32" s="85"/>
      <c r="U32" s="86"/>
      <c r="V32" s="86"/>
      <c r="W32" s="85"/>
      <c r="X32" s="85"/>
      <c r="Y32" s="86"/>
      <c r="Z32" s="388"/>
      <c r="AA32" s="282"/>
      <c r="AB32" s="282"/>
    </row>
    <row r="33" spans="1:28" ht="15.75">
      <c r="A33" s="103"/>
      <c r="B33" s="104" t="s">
        <v>229</v>
      </c>
      <c r="C33" s="103" t="s">
        <v>225</v>
      </c>
      <c r="D33" s="116" t="s">
        <v>63</v>
      </c>
      <c r="E33" s="116" t="s">
        <v>63</v>
      </c>
      <c r="F33" s="116" t="s">
        <v>63</v>
      </c>
      <c r="G33" s="116" t="s">
        <v>63</v>
      </c>
      <c r="H33" s="116" t="s">
        <v>63</v>
      </c>
      <c r="I33" s="116" t="s">
        <v>63</v>
      </c>
      <c r="J33" s="125" t="s">
        <v>63</v>
      </c>
      <c r="K33" s="125" t="s">
        <v>63</v>
      </c>
      <c r="L33" s="126" t="s">
        <v>63</v>
      </c>
      <c r="M33" s="126" t="s">
        <v>63</v>
      </c>
      <c r="N33" s="126" t="s">
        <v>63</v>
      </c>
      <c r="O33" s="107"/>
      <c r="P33" s="108"/>
      <c r="Q33" s="109"/>
      <c r="R33" s="108"/>
      <c r="S33" s="85"/>
      <c r="T33" s="85"/>
      <c r="U33" s="86"/>
      <c r="V33" s="86"/>
      <c r="W33" s="85"/>
      <c r="X33" s="85"/>
      <c r="Y33" s="86"/>
      <c r="Z33" s="388"/>
      <c r="AA33" s="282"/>
      <c r="AB33" s="282"/>
    </row>
    <row r="34" spans="1:28" ht="15.75">
      <c r="A34" s="103"/>
      <c r="B34" s="104" t="s">
        <v>238</v>
      </c>
      <c r="C34" s="103" t="s">
        <v>225</v>
      </c>
      <c r="D34" s="116" t="s">
        <v>63</v>
      </c>
      <c r="E34" s="116" t="s">
        <v>63</v>
      </c>
      <c r="F34" s="116" t="s">
        <v>63</v>
      </c>
      <c r="G34" s="116" t="s">
        <v>63</v>
      </c>
      <c r="H34" s="116" t="s">
        <v>63</v>
      </c>
      <c r="I34" s="116" t="s">
        <v>63</v>
      </c>
      <c r="J34" s="125" t="s">
        <v>63</v>
      </c>
      <c r="K34" s="125" t="s">
        <v>63</v>
      </c>
      <c r="L34" s="126" t="s">
        <v>63</v>
      </c>
      <c r="M34" s="126" t="s">
        <v>63</v>
      </c>
      <c r="N34" s="126" t="s">
        <v>63</v>
      </c>
      <c r="O34" s="107"/>
      <c r="P34" s="108"/>
      <c r="Q34" s="109"/>
      <c r="R34" s="108"/>
      <c r="S34" s="85"/>
      <c r="T34" s="85"/>
      <c r="U34" s="86"/>
      <c r="V34" s="86"/>
      <c r="W34" s="85"/>
      <c r="X34" s="85"/>
      <c r="Y34" s="86"/>
      <c r="Z34" s="388"/>
      <c r="AA34" s="282">
        <v>1</v>
      </c>
      <c r="AB34" s="282">
        <v>0</v>
      </c>
    </row>
    <row r="35" spans="1:28" ht="15.75">
      <c r="A35" s="103"/>
      <c r="B35" s="57" t="s">
        <v>231</v>
      </c>
      <c r="C35" s="103" t="s">
        <v>225</v>
      </c>
      <c r="D35" s="116" t="s">
        <v>63</v>
      </c>
      <c r="E35" s="116" t="s">
        <v>63</v>
      </c>
      <c r="F35" s="116">
        <v>1</v>
      </c>
      <c r="G35" s="105">
        <v>3</v>
      </c>
      <c r="H35" s="105">
        <v>3</v>
      </c>
      <c r="I35" s="105">
        <v>3</v>
      </c>
      <c r="J35" s="106">
        <v>4</v>
      </c>
      <c r="K35" s="106">
        <v>2</v>
      </c>
      <c r="L35" s="107">
        <v>3</v>
      </c>
      <c r="M35" s="107">
        <v>3</v>
      </c>
      <c r="N35" s="107">
        <v>2</v>
      </c>
      <c r="O35" s="107">
        <v>2</v>
      </c>
      <c r="P35" s="108">
        <v>2</v>
      </c>
      <c r="Q35" s="109">
        <v>2</v>
      </c>
      <c r="R35" s="108">
        <v>2</v>
      </c>
      <c r="S35" s="85">
        <v>2</v>
      </c>
      <c r="T35" s="85">
        <v>3</v>
      </c>
      <c r="U35" s="86">
        <v>3</v>
      </c>
      <c r="V35" s="86">
        <v>4</v>
      </c>
      <c r="W35" s="85">
        <v>4</v>
      </c>
      <c r="X35" s="85">
        <v>4</v>
      </c>
      <c r="Y35" s="86">
        <v>4</v>
      </c>
      <c r="Z35" s="388">
        <v>5</v>
      </c>
      <c r="AA35" s="283">
        <v>4</v>
      </c>
      <c r="AB35" s="283">
        <v>5</v>
      </c>
    </row>
    <row r="36" spans="1:28" ht="15.75">
      <c r="A36" s="103"/>
      <c r="B36" s="110" t="s">
        <v>232</v>
      </c>
      <c r="C36" s="114" t="s">
        <v>225</v>
      </c>
      <c r="D36" s="116" t="s">
        <v>63</v>
      </c>
      <c r="E36" s="116" t="s">
        <v>63</v>
      </c>
      <c r="F36" s="116" t="s">
        <v>63</v>
      </c>
      <c r="G36" s="116" t="s">
        <v>63</v>
      </c>
      <c r="H36" s="116" t="s">
        <v>63</v>
      </c>
      <c r="I36" s="116" t="s">
        <v>63</v>
      </c>
      <c r="J36" s="125" t="s">
        <v>63</v>
      </c>
      <c r="K36" s="125" t="s">
        <v>63</v>
      </c>
      <c r="L36" s="126" t="s">
        <v>63</v>
      </c>
      <c r="M36" s="126" t="s">
        <v>63</v>
      </c>
      <c r="N36" s="126" t="s">
        <v>63</v>
      </c>
      <c r="O36" s="107"/>
      <c r="P36" s="108"/>
      <c r="Q36" s="109"/>
      <c r="R36" s="108"/>
      <c r="S36" s="85"/>
      <c r="T36" s="85"/>
      <c r="U36" s="86"/>
      <c r="V36" s="86"/>
      <c r="W36" s="85"/>
      <c r="X36" s="85"/>
      <c r="Y36" s="86"/>
      <c r="Z36" s="388"/>
      <c r="AA36" s="282"/>
      <c r="AB36" s="282"/>
    </row>
    <row r="37" spans="1:28" ht="15.75">
      <c r="A37" s="103"/>
      <c r="B37" s="113" t="s">
        <v>233</v>
      </c>
      <c r="C37" s="114" t="s">
        <v>225</v>
      </c>
      <c r="D37" s="116" t="s">
        <v>63</v>
      </c>
      <c r="E37" s="116" t="s">
        <v>63</v>
      </c>
      <c r="F37" s="116" t="s">
        <v>63</v>
      </c>
      <c r="G37" s="116" t="s">
        <v>63</v>
      </c>
      <c r="H37" s="116" t="s">
        <v>63</v>
      </c>
      <c r="I37" s="116" t="s">
        <v>63</v>
      </c>
      <c r="J37" s="125" t="s">
        <v>63</v>
      </c>
      <c r="K37" s="125" t="s">
        <v>63</v>
      </c>
      <c r="L37" s="126" t="s">
        <v>63</v>
      </c>
      <c r="M37" s="126" t="s">
        <v>63</v>
      </c>
      <c r="N37" s="126" t="s">
        <v>63</v>
      </c>
      <c r="O37" s="107"/>
      <c r="P37" s="108">
        <v>1</v>
      </c>
      <c r="Q37" s="109">
        <v>1</v>
      </c>
      <c r="R37" s="108">
        <v>1</v>
      </c>
      <c r="S37" s="85">
        <v>1</v>
      </c>
      <c r="T37" s="85">
        <v>1</v>
      </c>
      <c r="U37" s="86">
        <v>1</v>
      </c>
      <c r="V37" s="86">
        <v>1</v>
      </c>
      <c r="W37" s="85">
        <v>1</v>
      </c>
      <c r="X37" s="85">
        <v>1</v>
      </c>
      <c r="Y37" s="86">
        <v>1</v>
      </c>
      <c r="Z37" s="389">
        <v>1</v>
      </c>
      <c r="AA37" s="283">
        <v>1</v>
      </c>
      <c r="AB37" s="283">
        <v>1</v>
      </c>
    </row>
    <row r="38" spans="1:28" ht="15.75">
      <c r="A38" s="103"/>
      <c r="B38" s="113" t="s">
        <v>234</v>
      </c>
      <c r="C38" s="114" t="s">
        <v>225</v>
      </c>
      <c r="D38" s="116" t="s">
        <v>63</v>
      </c>
      <c r="E38" s="116">
        <v>1</v>
      </c>
      <c r="F38" s="116">
        <v>2</v>
      </c>
      <c r="G38" s="105">
        <v>2</v>
      </c>
      <c r="H38" s="105">
        <v>2</v>
      </c>
      <c r="I38" s="105">
        <v>2</v>
      </c>
      <c r="J38" s="106">
        <v>2</v>
      </c>
      <c r="K38" s="106">
        <v>2</v>
      </c>
      <c r="L38" s="107">
        <v>2</v>
      </c>
      <c r="M38" s="107">
        <v>2</v>
      </c>
      <c r="N38" s="107">
        <v>2</v>
      </c>
      <c r="O38" s="107">
        <v>2</v>
      </c>
      <c r="P38" s="108">
        <v>2</v>
      </c>
      <c r="Q38" s="109">
        <v>2</v>
      </c>
      <c r="R38" s="108">
        <v>2</v>
      </c>
      <c r="S38" s="85">
        <v>2</v>
      </c>
      <c r="T38" s="85">
        <v>1</v>
      </c>
      <c r="U38" s="86">
        <v>1</v>
      </c>
      <c r="V38" s="86">
        <v>1</v>
      </c>
      <c r="W38" s="85">
        <v>1</v>
      </c>
      <c r="X38" s="85">
        <v>2</v>
      </c>
      <c r="Y38" s="86">
        <v>2</v>
      </c>
      <c r="Z38" s="388">
        <v>2</v>
      </c>
      <c r="AA38" s="283">
        <v>1</v>
      </c>
      <c r="AB38" s="283">
        <v>1</v>
      </c>
    </row>
    <row r="39" spans="1:28" ht="15.75">
      <c r="A39" s="127"/>
      <c r="B39" s="79" t="s">
        <v>240</v>
      </c>
      <c r="C39" s="127"/>
      <c r="D39" s="128"/>
      <c r="E39" s="128"/>
      <c r="F39" s="128"/>
      <c r="G39" s="105"/>
      <c r="H39" s="105"/>
      <c r="I39" s="105"/>
      <c r="J39" s="106"/>
      <c r="K39" s="106"/>
      <c r="L39" s="107"/>
      <c r="M39" s="107"/>
      <c r="N39" s="107"/>
      <c r="O39" s="107"/>
      <c r="P39" s="108"/>
      <c r="Q39" s="109"/>
      <c r="R39" s="108"/>
      <c r="S39" s="85"/>
      <c r="T39" s="85"/>
      <c r="U39" s="86"/>
      <c r="V39" s="86"/>
      <c r="W39" s="85"/>
      <c r="X39" s="85"/>
      <c r="Y39" s="86"/>
      <c r="Z39" s="388"/>
      <c r="AA39" s="282"/>
      <c r="AB39" s="282"/>
    </row>
    <row r="40" spans="1:28" ht="15.75">
      <c r="A40" s="103"/>
      <c r="B40" s="129" t="s">
        <v>241</v>
      </c>
      <c r="C40" s="103" t="s">
        <v>225</v>
      </c>
      <c r="D40" s="112">
        <v>14</v>
      </c>
      <c r="E40" s="112">
        <v>21</v>
      </c>
      <c r="F40" s="112">
        <v>24</v>
      </c>
      <c r="G40" s="105">
        <v>27</v>
      </c>
      <c r="H40" s="105">
        <v>27</v>
      </c>
      <c r="I40" s="105">
        <v>27</v>
      </c>
      <c r="J40" s="106">
        <v>26</v>
      </c>
      <c r="K40" s="106">
        <v>30</v>
      </c>
      <c r="L40" s="107">
        <v>31</v>
      </c>
      <c r="M40" s="107">
        <v>32</v>
      </c>
      <c r="N40" s="107">
        <v>32</v>
      </c>
      <c r="O40" s="107">
        <v>30</v>
      </c>
      <c r="P40" s="108">
        <v>31</v>
      </c>
      <c r="Q40" s="109">
        <v>31</v>
      </c>
      <c r="R40" s="108">
        <v>32</v>
      </c>
      <c r="S40" s="85">
        <v>32</v>
      </c>
      <c r="T40" s="85">
        <v>32</v>
      </c>
      <c r="U40" s="86">
        <v>34</v>
      </c>
      <c r="V40" s="86">
        <v>34</v>
      </c>
      <c r="W40" s="85">
        <v>34</v>
      </c>
      <c r="X40" s="85">
        <v>36</v>
      </c>
      <c r="Y40" s="86">
        <v>34</v>
      </c>
      <c r="Z40" s="388">
        <v>34</v>
      </c>
      <c r="AA40" s="283">
        <v>35</v>
      </c>
      <c r="AB40" s="283">
        <v>31</v>
      </c>
    </row>
    <row r="41" spans="1:28" ht="15.75">
      <c r="A41" s="103"/>
      <c r="B41" s="129" t="s">
        <v>242</v>
      </c>
      <c r="C41" s="114" t="s">
        <v>225</v>
      </c>
      <c r="D41" s="112">
        <v>8</v>
      </c>
      <c r="E41" s="112">
        <v>11</v>
      </c>
      <c r="F41" s="112">
        <v>16</v>
      </c>
      <c r="G41" s="105">
        <v>9</v>
      </c>
      <c r="H41" s="105">
        <v>9</v>
      </c>
      <c r="I41" s="105">
        <v>9</v>
      </c>
      <c r="J41" s="106">
        <v>9</v>
      </c>
      <c r="K41" s="106">
        <v>6</v>
      </c>
      <c r="L41" s="107">
        <v>5</v>
      </c>
      <c r="M41" s="107">
        <v>4</v>
      </c>
      <c r="N41" s="107">
        <v>4</v>
      </c>
      <c r="O41" s="107">
        <v>5</v>
      </c>
      <c r="P41" s="108">
        <v>5</v>
      </c>
      <c r="Q41" s="109">
        <v>5</v>
      </c>
      <c r="R41" s="108">
        <v>4</v>
      </c>
      <c r="S41" s="85">
        <v>4</v>
      </c>
      <c r="T41" s="85">
        <v>3</v>
      </c>
      <c r="U41" s="86">
        <v>3</v>
      </c>
      <c r="V41" s="86">
        <v>4</v>
      </c>
      <c r="W41" s="85">
        <v>4</v>
      </c>
      <c r="X41" s="85">
        <v>4</v>
      </c>
      <c r="Y41" s="86">
        <v>4</v>
      </c>
      <c r="Z41" s="388">
        <v>4</v>
      </c>
      <c r="AA41" s="283">
        <v>4</v>
      </c>
      <c r="AB41" s="283">
        <v>5</v>
      </c>
    </row>
    <row r="42" spans="1:28" ht="15.75">
      <c r="A42" s="103"/>
      <c r="B42" s="129" t="s">
        <v>243</v>
      </c>
      <c r="C42" s="103" t="s">
        <v>225</v>
      </c>
      <c r="D42" s="112">
        <v>4</v>
      </c>
      <c r="E42" s="112">
        <v>6</v>
      </c>
      <c r="F42" s="112">
        <v>7</v>
      </c>
      <c r="G42" s="105">
        <v>5</v>
      </c>
      <c r="H42" s="105">
        <v>5</v>
      </c>
      <c r="I42" s="105">
        <v>5</v>
      </c>
      <c r="J42" s="106">
        <v>5</v>
      </c>
      <c r="K42" s="106">
        <v>3</v>
      </c>
      <c r="L42" s="107">
        <v>3</v>
      </c>
      <c r="M42" s="107">
        <v>1</v>
      </c>
      <c r="N42" s="126" t="s">
        <v>63</v>
      </c>
      <c r="O42" s="107"/>
      <c r="P42" s="108"/>
      <c r="Q42" s="109"/>
      <c r="R42" s="108"/>
      <c r="S42" s="85"/>
      <c r="T42" s="85">
        <v>1</v>
      </c>
      <c r="U42" s="86">
        <v>1</v>
      </c>
      <c r="V42" s="86"/>
      <c r="W42" s="85"/>
      <c r="X42" s="85"/>
      <c r="Y42" s="86"/>
      <c r="Z42" s="388"/>
      <c r="AA42" s="282"/>
      <c r="AB42" s="282"/>
    </row>
    <row r="43" spans="1:28" ht="15.75">
      <c r="A43" s="103"/>
      <c r="B43" s="129" t="s">
        <v>244</v>
      </c>
      <c r="C43" s="103" t="s">
        <v>225</v>
      </c>
      <c r="D43" s="112">
        <v>4</v>
      </c>
      <c r="E43" s="112">
        <v>6</v>
      </c>
      <c r="F43" s="112">
        <v>7</v>
      </c>
      <c r="G43" s="105">
        <v>5</v>
      </c>
      <c r="H43" s="105">
        <v>5</v>
      </c>
      <c r="I43" s="105">
        <v>5</v>
      </c>
      <c r="J43" s="106">
        <v>5</v>
      </c>
      <c r="K43" s="106">
        <v>3</v>
      </c>
      <c r="L43" s="107">
        <v>2</v>
      </c>
      <c r="M43" s="107">
        <v>1</v>
      </c>
      <c r="N43" s="126" t="s">
        <v>63</v>
      </c>
      <c r="O43" s="107"/>
      <c r="P43" s="108"/>
      <c r="Q43" s="109">
        <v>1</v>
      </c>
      <c r="R43" s="108">
        <v>1</v>
      </c>
      <c r="S43" s="85">
        <v>1</v>
      </c>
      <c r="T43" s="85"/>
      <c r="U43" s="86"/>
      <c r="V43" s="86"/>
      <c r="W43" s="85"/>
      <c r="X43" s="85"/>
      <c r="Y43" s="86"/>
      <c r="Z43" s="388"/>
      <c r="AA43" s="282"/>
      <c r="AB43" s="282"/>
    </row>
    <row r="44" spans="1:28" ht="15.75">
      <c r="A44" s="103"/>
      <c r="B44" s="129" t="s">
        <v>245</v>
      </c>
      <c r="C44" s="103" t="s">
        <v>225</v>
      </c>
      <c r="D44" s="112" t="s">
        <v>63</v>
      </c>
      <c r="E44" s="112" t="s">
        <v>63</v>
      </c>
      <c r="F44" s="112" t="s">
        <v>63</v>
      </c>
      <c r="G44" s="112" t="s">
        <v>63</v>
      </c>
      <c r="H44" s="112" t="s">
        <v>63</v>
      </c>
      <c r="I44" s="112" t="s">
        <v>63</v>
      </c>
      <c r="J44" s="118" t="s">
        <v>63</v>
      </c>
      <c r="K44" s="118" t="s">
        <v>63</v>
      </c>
      <c r="L44" s="107">
        <v>1</v>
      </c>
      <c r="M44" s="126" t="s">
        <v>63</v>
      </c>
      <c r="N44" s="126" t="s">
        <v>63</v>
      </c>
      <c r="O44" s="107"/>
      <c r="P44" s="108"/>
      <c r="Q44" s="109"/>
      <c r="R44" s="108"/>
      <c r="S44" s="85"/>
      <c r="T44" s="85"/>
      <c r="U44" s="86"/>
      <c r="V44" s="86"/>
      <c r="W44" s="85"/>
      <c r="X44" s="85"/>
      <c r="Y44" s="86"/>
      <c r="Z44" s="388"/>
      <c r="AA44" s="282"/>
      <c r="AB44" s="282"/>
    </row>
    <row r="45" spans="1:28" ht="31.5">
      <c r="A45" s="103"/>
      <c r="B45" s="37" t="s">
        <v>246</v>
      </c>
      <c r="C45" s="103" t="s">
        <v>225</v>
      </c>
      <c r="D45" s="112" t="s">
        <v>63</v>
      </c>
      <c r="E45" s="112" t="s">
        <v>63</v>
      </c>
      <c r="F45" s="112" t="s">
        <v>63</v>
      </c>
      <c r="G45" s="112" t="s">
        <v>63</v>
      </c>
      <c r="H45" s="112" t="s">
        <v>63</v>
      </c>
      <c r="I45" s="112" t="s">
        <v>63</v>
      </c>
      <c r="J45" s="118" t="s">
        <v>63</v>
      </c>
      <c r="K45" s="118" t="s">
        <v>63</v>
      </c>
      <c r="L45" s="130" t="s">
        <v>63</v>
      </c>
      <c r="M45" s="130" t="s">
        <v>63</v>
      </c>
      <c r="N45" s="126" t="s">
        <v>63</v>
      </c>
      <c r="O45" s="107"/>
      <c r="P45" s="108"/>
      <c r="Q45" s="109"/>
      <c r="R45" s="108"/>
      <c r="S45" s="85"/>
      <c r="T45" s="85"/>
      <c r="U45" s="86"/>
      <c r="V45" s="86"/>
      <c r="W45" s="85"/>
      <c r="X45" s="85"/>
      <c r="Y45" s="86"/>
      <c r="Z45" s="388"/>
      <c r="AA45" s="282"/>
      <c r="AB45" s="282"/>
    </row>
    <row r="46" spans="1:28" ht="15.75">
      <c r="A46" s="103"/>
      <c r="B46" s="20" t="s">
        <v>247</v>
      </c>
      <c r="C46" s="103" t="s">
        <v>225</v>
      </c>
      <c r="D46" s="131" t="s">
        <v>248</v>
      </c>
      <c r="E46" s="131" t="s">
        <v>248</v>
      </c>
      <c r="F46" s="131" t="s">
        <v>248</v>
      </c>
      <c r="G46" s="105"/>
      <c r="H46" s="105"/>
      <c r="I46" s="105"/>
      <c r="J46" s="106"/>
      <c r="K46" s="106"/>
      <c r="L46" s="107"/>
      <c r="M46" s="107"/>
      <c r="N46" s="107"/>
      <c r="O46" s="107"/>
      <c r="P46" s="108"/>
      <c r="Q46" s="109"/>
      <c r="R46" s="108"/>
      <c r="S46" s="85"/>
      <c r="T46" s="85"/>
      <c r="U46" s="86"/>
      <c r="V46" s="86"/>
      <c r="W46" s="85"/>
      <c r="X46" s="85"/>
      <c r="Y46" s="86"/>
      <c r="Z46" s="388"/>
      <c r="AA46" s="282"/>
      <c r="AB46" s="282"/>
    </row>
    <row r="47" spans="1:28" ht="15.75">
      <c r="A47" s="103"/>
      <c r="B47" s="129" t="s">
        <v>249</v>
      </c>
      <c r="C47" s="114" t="s">
        <v>225</v>
      </c>
      <c r="D47" s="112">
        <v>1</v>
      </c>
      <c r="E47" s="112">
        <v>4</v>
      </c>
      <c r="F47" s="112">
        <v>4</v>
      </c>
      <c r="G47" s="105">
        <v>20</v>
      </c>
      <c r="H47" s="105">
        <v>15</v>
      </c>
      <c r="I47" s="105">
        <v>15</v>
      </c>
      <c r="J47" s="106">
        <v>13</v>
      </c>
      <c r="K47" s="106">
        <v>15</v>
      </c>
      <c r="L47" s="107">
        <v>15</v>
      </c>
      <c r="M47" s="107">
        <v>17</v>
      </c>
      <c r="N47" s="107">
        <v>17</v>
      </c>
      <c r="O47" s="107">
        <v>19</v>
      </c>
      <c r="P47" s="108">
        <v>14</v>
      </c>
      <c r="Q47" s="109">
        <v>14</v>
      </c>
      <c r="R47" s="108">
        <v>14</v>
      </c>
      <c r="S47" s="85">
        <v>11</v>
      </c>
      <c r="T47" s="85">
        <v>6</v>
      </c>
      <c r="U47" s="86">
        <v>11</v>
      </c>
      <c r="V47" s="86">
        <v>10</v>
      </c>
      <c r="W47" s="85">
        <v>7</v>
      </c>
      <c r="X47" s="85">
        <v>8</v>
      </c>
      <c r="Y47" s="86">
        <v>8</v>
      </c>
      <c r="Z47" s="388">
        <v>9</v>
      </c>
      <c r="AA47" s="282">
        <v>7</v>
      </c>
      <c r="AB47" s="282">
        <v>4</v>
      </c>
    </row>
    <row r="48" spans="1:28" ht="15.75">
      <c r="A48" s="103"/>
      <c r="B48" s="129" t="s">
        <v>250</v>
      </c>
      <c r="C48" s="103" t="s">
        <v>225</v>
      </c>
      <c r="D48" s="112">
        <v>8</v>
      </c>
      <c r="E48" s="112">
        <v>10</v>
      </c>
      <c r="F48" s="112">
        <v>26</v>
      </c>
      <c r="G48" s="105">
        <v>12</v>
      </c>
      <c r="H48" s="105">
        <v>16</v>
      </c>
      <c r="I48" s="105">
        <v>16</v>
      </c>
      <c r="J48" s="106">
        <v>15</v>
      </c>
      <c r="K48" s="106">
        <v>13</v>
      </c>
      <c r="L48" s="107">
        <v>13</v>
      </c>
      <c r="M48" s="107">
        <v>11</v>
      </c>
      <c r="N48" s="107">
        <v>10</v>
      </c>
      <c r="O48" s="107">
        <v>9</v>
      </c>
      <c r="P48" s="108">
        <v>13</v>
      </c>
      <c r="Q48" s="109">
        <v>13</v>
      </c>
      <c r="R48" s="108">
        <v>13</v>
      </c>
      <c r="S48" s="85">
        <v>16</v>
      </c>
      <c r="T48" s="85">
        <v>15</v>
      </c>
      <c r="U48" s="86">
        <v>9</v>
      </c>
      <c r="V48" s="86">
        <v>8</v>
      </c>
      <c r="W48" s="85">
        <v>11</v>
      </c>
      <c r="X48" s="85">
        <v>12</v>
      </c>
      <c r="Y48" s="86">
        <v>10</v>
      </c>
      <c r="Z48" s="388">
        <v>8</v>
      </c>
      <c r="AA48" s="282">
        <v>5</v>
      </c>
      <c r="AB48" s="282">
        <v>4</v>
      </c>
    </row>
    <row r="49" spans="1:28" ht="15.75">
      <c r="A49" s="103"/>
      <c r="B49" s="129" t="s">
        <v>251</v>
      </c>
      <c r="C49" s="103" t="s">
        <v>225</v>
      </c>
      <c r="D49" s="112">
        <v>7</v>
      </c>
      <c r="E49" s="112">
        <v>11</v>
      </c>
      <c r="F49" s="112">
        <v>6</v>
      </c>
      <c r="G49" s="105">
        <v>4</v>
      </c>
      <c r="H49" s="105">
        <v>4</v>
      </c>
      <c r="I49" s="105">
        <v>4</v>
      </c>
      <c r="J49" s="106">
        <v>6</v>
      </c>
      <c r="K49" s="106">
        <v>7</v>
      </c>
      <c r="L49" s="107">
        <v>7</v>
      </c>
      <c r="M49" s="107">
        <v>7</v>
      </c>
      <c r="N49" s="107">
        <v>8</v>
      </c>
      <c r="O49" s="107">
        <v>9</v>
      </c>
      <c r="P49" s="108">
        <v>6</v>
      </c>
      <c r="Q49" s="109">
        <v>5</v>
      </c>
      <c r="R49" s="108">
        <v>5</v>
      </c>
      <c r="S49" s="85">
        <v>5</v>
      </c>
      <c r="T49" s="85">
        <v>11</v>
      </c>
      <c r="U49" s="86">
        <v>14</v>
      </c>
      <c r="V49" s="86">
        <v>16</v>
      </c>
      <c r="W49" s="85">
        <v>16</v>
      </c>
      <c r="X49" s="85">
        <v>16</v>
      </c>
      <c r="Y49" s="86">
        <v>16</v>
      </c>
      <c r="Z49" s="388">
        <v>17</v>
      </c>
      <c r="AA49" s="282">
        <v>15</v>
      </c>
      <c r="AB49" s="282">
        <v>16</v>
      </c>
    </row>
    <row r="50" spans="1:28" ht="15.75">
      <c r="A50" s="103"/>
      <c r="B50" s="129" t="s">
        <v>252</v>
      </c>
      <c r="C50" s="114" t="s">
        <v>225</v>
      </c>
      <c r="D50" s="112">
        <v>6</v>
      </c>
      <c r="E50" s="112">
        <v>8</v>
      </c>
      <c r="F50" s="116" t="s">
        <v>63</v>
      </c>
      <c r="G50" s="116" t="s">
        <v>63</v>
      </c>
      <c r="H50" s="105">
        <v>1</v>
      </c>
      <c r="I50" s="105">
        <v>1</v>
      </c>
      <c r="J50" s="106">
        <v>1</v>
      </c>
      <c r="K50" s="106">
        <v>1</v>
      </c>
      <c r="L50" s="107">
        <v>1</v>
      </c>
      <c r="M50" s="107">
        <v>1</v>
      </c>
      <c r="N50" s="107">
        <v>1</v>
      </c>
      <c r="O50" s="107">
        <v>1</v>
      </c>
      <c r="P50" s="108">
        <v>3</v>
      </c>
      <c r="Q50" s="109">
        <v>4</v>
      </c>
      <c r="R50" s="108">
        <v>4</v>
      </c>
      <c r="S50" s="85">
        <v>4</v>
      </c>
      <c r="T50" s="85">
        <v>4</v>
      </c>
      <c r="U50" s="86">
        <v>4</v>
      </c>
      <c r="V50" s="86">
        <v>4</v>
      </c>
      <c r="W50" s="85">
        <v>4</v>
      </c>
      <c r="X50" s="85">
        <v>4</v>
      </c>
      <c r="Y50" s="86">
        <v>4</v>
      </c>
      <c r="Z50" s="388">
        <v>4</v>
      </c>
      <c r="AA50" s="282">
        <v>7</v>
      </c>
      <c r="AB50" s="282">
        <v>12</v>
      </c>
    </row>
    <row r="51" spans="1:15" ht="15.75">
      <c r="A51" s="68"/>
      <c r="B51" s="132"/>
      <c r="C51" s="68"/>
      <c r="D51" s="133"/>
      <c r="E51" s="133"/>
      <c r="F51" s="133"/>
      <c r="G51" s="134"/>
      <c r="H51" s="134"/>
      <c r="I51" s="134"/>
      <c r="J51" s="134"/>
      <c r="K51" s="134"/>
      <c r="L51" s="134"/>
      <c r="M51" s="135"/>
      <c r="N51" s="134"/>
      <c r="O51" s="134"/>
    </row>
    <row r="52" spans="1:6" ht="15.75">
      <c r="A52" s="68"/>
      <c r="B52" s="14"/>
      <c r="C52" s="68"/>
      <c r="D52" s="136"/>
      <c r="E52" s="136"/>
      <c r="F52" s="136"/>
    </row>
    <row r="53" spans="1:6" ht="15.75">
      <c r="A53" s="68"/>
      <c r="B53" s="137"/>
      <c r="C53" s="138"/>
      <c r="D53" s="136"/>
      <c r="E53" s="136"/>
      <c r="F53" s="136"/>
    </row>
    <row r="54" spans="1:6" ht="15.75">
      <c r="A54" s="68"/>
      <c r="B54" s="132"/>
      <c r="C54" s="68"/>
      <c r="D54" s="136"/>
      <c r="E54" s="136"/>
      <c r="F54" s="136"/>
    </row>
    <row r="57" spans="1:4" ht="15.75">
      <c r="A57" s="139"/>
      <c r="B57" s="443"/>
      <c r="C57" s="443"/>
      <c r="D57" s="48"/>
    </row>
    <row r="58" spans="1:4" ht="15.75">
      <c r="A58" s="139"/>
      <c r="B58" s="140"/>
      <c r="C58" s="55"/>
      <c r="D58" s="48"/>
    </row>
    <row r="59" spans="1:4" ht="15.75">
      <c r="A59" s="53"/>
      <c r="B59" s="54"/>
      <c r="C59" s="55"/>
      <c r="D59" s="48"/>
    </row>
    <row r="60" spans="1:4" ht="15.75">
      <c r="A60" s="53"/>
      <c r="B60" s="54"/>
      <c r="C60" s="55"/>
      <c r="D60" s="48"/>
    </row>
    <row r="61" spans="1:4" ht="15.75">
      <c r="A61" s="53"/>
      <c r="B61" s="54"/>
      <c r="C61" s="55"/>
      <c r="D61" s="48"/>
    </row>
    <row r="62" spans="1:4" ht="15.75">
      <c r="A62" s="53"/>
      <c r="B62" s="54"/>
      <c r="C62" s="55"/>
      <c r="D62" s="48"/>
    </row>
    <row r="63" spans="1:4" ht="15.75">
      <c r="A63" s="53"/>
      <c r="B63" s="54"/>
      <c r="C63" s="55"/>
      <c r="D63" s="48"/>
    </row>
    <row r="64" spans="1:4" ht="15.75">
      <c r="A64" s="53"/>
      <c r="B64" s="54"/>
      <c r="C64" s="55"/>
      <c r="D64" s="48"/>
    </row>
    <row r="65" spans="1:4" ht="15.75">
      <c r="A65" s="53"/>
      <c r="B65" s="54"/>
      <c r="C65" s="55"/>
      <c r="D65" s="48"/>
    </row>
    <row r="66" spans="1:4" ht="15.75">
      <c r="A66" s="53"/>
      <c r="B66" s="54"/>
      <c r="C66" s="55"/>
      <c r="D66" s="48"/>
    </row>
    <row r="67" spans="1:4" ht="15.75">
      <c r="A67" s="139"/>
      <c r="B67" s="140"/>
      <c r="C67" s="55"/>
      <c r="D67" s="48"/>
    </row>
    <row r="68" spans="1:4" ht="15.75">
      <c r="A68" s="53"/>
      <c r="B68" s="54"/>
      <c r="C68" s="55"/>
      <c r="D68" s="48"/>
    </row>
    <row r="69" spans="1:4" ht="15.75">
      <c r="A69" s="53"/>
      <c r="B69" s="54"/>
      <c r="C69" s="55"/>
      <c r="D69" s="48"/>
    </row>
    <row r="70" spans="1:4" ht="15.75">
      <c r="A70" s="53"/>
      <c r="B70" s="54"/>
      <c r="C70" s="55"/>
      <c r="D70" s="48"/>
    </row>
    <row r="71" spans="1:4" ht="15.75">
      <c r="A71" s="53"/>
      <c r="B71" s="54"/>
      <c r="C71" s="55"/>
      <c r="D71" s="48"/>
    </row>
    <row r="72" spans="1:4" ht="15.75">
      <c r="A72" s="53"/>
      <c r="B72" s="54"/>
      <c r="C72" s="55"/>
      <c r="D72" s="48"/>
    </row>
    <row r="73" spans="1:4" ht="15.75">
      <c r="A73" s="53"/>
      <c r="B73" s="54"/>
      <c r="C73" s="55"/>
      <c r="D73" s="48"/>
    </row>
    <row r="74" spans="1:4" ht="15.75">
      <c r="A74" s="53"/>
      <c r="B74" s="54"/>
      <c r="C74" s="55"/>
      <c r="D74" s="48"/>
    </row>
    <row r="75" spans="1:4" ht="15.75">
      <c r="A75" s="53"/>
      <c r="B75" s="54"/>
      <c r="C75" s="55"/>
      <c r="D75" s="48"/>
    </row>
    <row r="76" spans="1:4" ht="15.75">
      <c r="A76" s="139"/>
      <c r="B76" s="140"/>
      <c r="C76" s="55"/>
      <c r="D76" s="48"/>
    </row>
    <row r="77" spans="1:4" ht="15.75">
      <c r="A77" s="53"/>
      <c r="B77" s="54"/>
      <c r="C77" s="55"/>
      <c r="D77" s="48"/>
    </row>
    <row r="78" spans="1:4" ht="15.75">
      <c r="A78" s="53"/>
      <c r="B78" s="54"/>
      <c r="C78" s="55"/>
      <c r="D78" s="48"/>
    </row>
    <row r="79" spans="1:4" ht="15.75">
      <c r="A79" s="53"/>
      <c r="B79" s="54"/>
      <c r="C79" s="55"/>
      <c r="D79" s="48"/>
    </row>
    <row r="80" spans="1:4" ht="15.75">
      <c r="A80" s="53"/>
      <c r="B80" s="48"/>
      <c r="C80" s="55"/>
      <c r="D80" s="48"/>
    </row>
    <row r="81" spans="1:4" ht="15.75">
      <c r="A81" s="139"/>
      <c r="B81" s="140"/>
      <c r="C81" s="55"/>
      <c r="D81" s="48"/>
    </row>
    <row r="82" spans="1:4" ht="15.75">
      <c r="A82" s="53"/>
      <c r="B82" s="54"/>
      <c r="C82" s="55"/>
      <c r="D82" s="48"/>
    </row>
    <row r="83" spans="1:4" ht="15.75">
      <c r="A83" s="53"/>
      <c r="B83" s="54"/>
      <c r="C83" s="55"/>
      <c r="D83" s="48"/>
    </row>
    <row r="84" spans="1:4" ht="15.75">
      <c r="A84" s="53"/>
      <c r="B84" s="54"/>
      <c r="C84" s="55"/>
      <c r="D84" s="48"/>
    </row>
    <row r="85" spans="1:4" ht="15.75">
      <c r="A85" s="53"/>
      <c r="B85" s="54"/>
      <c r="C85" s="55"/>
      <c r="D85" s="48"/>
    </row>
    <row r="86" spans="1:4" ht="15.75">
      <c r="A86" s="48"/>
      <c r="B86" s="48"/>
      <c r="C86" s="55"/>
      <c r="D86" s="48"/>
    </row>
    <row r="87" spans="1:4" ht="15.75">
      <c r="A87" s="48"/>
      <c r="B87" s="48"/>
      <c r="C87" s="55"/>
      <c r="D87" s="48"/>
    </row>
    <row r="88" spans="1:4" ht="15.75">
      <c r="A88" s="141"/>
      <c r="B88" s="141"/>
      <c r="C88" s="141"/>
      <c r="D88" s="48"/>
    </row>
    <row r="89" spans="1:4" ht="15.75">
      <c r="A89" s="141"/>
      <c r="B89" s="141"/>
      <c r="C89" s="141"/>
      <c r="D89" s="48"/>
    </row>
    <row r="90" spans="1:4" ht="15.75">
      <c r="A90" s="141"/>
      <c r="B90" s="141"/>
      <c r="C90" s="141"/>
      <c r="D90" s="48"/>
    </row>
    <row r="91" spans="1:4" ht="15.75">
      <c r="A91" s="141"/>
      <c r="B91" s="141"/>
      <c r="C91" s="141"/>
      <c r="D91" s="48"/>
    </row>
    <row r="92" spans="1:4" ht="15.75">
      <c r="A92" s="141"/>
      <c r="B92" s="141"/>
      <c r="C92" s="141"/>
      <c r="D92" s="48"/>
    </row>
  </sheetData>
  <sheetProtection selectLockedCells="1" selectUnlockedCells="1"/>
  <mergeCells count="4">
    <mergeCell ref="A1:D1"/>
    <mergeCell ref="A2:E2"/>
    <mergeCell ref="A3:F3"/>
    <mergeCell ref="B57:C5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28"/>
  <sheetViews>
    <sheetView zoomScale="110" zoomScaleNormal="110" zoomScalePageLayoutView="0" workbookViewId="0" topLeftCell="A1">
      <selection activeCell="H22" sqref="H22"/>
    </sheetView>
  </sheetViews>
  <sheetFormatPr defaultColWidth="9.375" defaultRowHeight="12.75"/>
  <cols>
    <col min="1" max="1" width="5.625" style="142" customWidth="1"/>
    <col min="2" max="2" width="44.375" style="142" customWidth="1"/>
    <col min="3" max="3" width="16.00390625" style="142" customWidth="1"/>
    <col min="4" max="4" width="19.625" style="143" customWidth="1"/>
    <col min="5" max="16384" width="9.375" style="142" customWidth="1"/>
  </cols>
  <sheetData>
    <row r="1" spans="1:4" ht="12.75" customHeight="1">
      <c r="A1" s="420" t="s">
        <v>10</v>
      </c>
      <c r="B1" s="420"/>
      <c r="C1" s="420"/>
      <c r="D1" s="420"/>
    </row>
    <row r="2" spans="1:5" ht="12.75" customHeight="1">
      <c r="A2" s="444" t="s">
        <v>23</v>
      </c>
      <c r="B2" s="444"/>
      <c r="C2" s="444"/>
      <c r="D2" s="444"/>
      <c r="E2" s="444"/>
    </row>
    <row r="3" spans="1:4" ht="12.75" customHeight="1">
      <c r="A3" s="445" t="s">
        <v>24</v>
      </c>
      <c r="B3" s="445"/>
      <c r="C3" s="445"/>
      <c r="D3" s="445"/>
    </row>
    <row r="4" spans="1:3" ht="15.75">
      <c r="A4" s="143"/>
      <c r="B4" s="143"/>
      <c r="C4" s="143"/>
    </row>
    <row r="5" spans="1:4" ht="29.25" customHeight="1">
      <c r="A5" s="144" t="s">
        <v>199</v>
      </c>
      <c r="B5" s="144" t="s">
        <v>200</v>
      </c>
      <c r="C5" s="446" t="s">
        <v>253</v>
      </c>
      <c r="D5" s="446"/>
    </row>
    <row r="6" spans="1:4" ht="12.75" customHeight="1">
      <c r="A6" s="447" t="s">
        <v>254</v>
      </c>
      <c r="B6" s="447"/>
      <c r="C6" s="447"/>
      <c r="D6" s="447"/>
    </row>
    <row r="7" spans="1:4" ht="12.75" customHeight="1">
      <c r="A7" s="145" t="s">
        <v>3</v>
      </c>
      <c r="B7" s="146" t="s">
        <v>255</v>
      </c>
      <c r="C7" s="448" t="s">
        <v>256</v>
      </c>
      <c r="D7" s="448"/>
    </row>
    <row r="8" spans="1:4" ht="15.75" customHeight="1">
      <c r="A8" s="145" t="s">
        <v>5</v>
      </c>
      <c r="B8" s="146" t="s">
        <v>257</v>
      </c>
      <c r="C8" s="448" t="s">
        <v>258</v>
      </c>
      <c r="D8" s="448"/>
    </row>
    <row r="9" spans="1:4" ht="12.75" customHeight="1">
      <c r="A9" s="145" t="s">
        <v>7</v>
      </c>
      <c r="B9" s="146" t="s">
        <v>259</v>
      </c>
      <c r="C9" s="448" t="s">
        <v>260</v>
      </c>
      <c r="D9" s="448"/>
    </row>
    <row r="10" spans="1:4" ht="12.75" customHeight="1">
      <c r="A10" s="145" t="s">
        <v>9</v>
      </c>
      <c r="B10" s="146" t="s">
        <v>261</v>
      </c>
      <c r="C10" s="448" t="s">
        <v>38</v>
      </c>
      <c r="D10" s="448"/>
    </row>
    <row r="11" spans="1:4" ht="12.75" customHeight="1">
      <c r="A11" s="145" t="s">
        <v>262</v>
      </c>
      <c r="B11" s="146" t="s">
        <v>263</v>
      </c>
      <c r="C11" s="448" t="s">
        <v>38</v>
      </c>
      <c r="D11" s="448"/>
    </row>
    <row r="12" spans="1:4" s="147" customFormat="1" ht="156" customHeight="1">
      <c r="A12" s="66" t="s">
        <v>11</v>
      </c>
      <c r="B12" s="25" t="s">
        <v>264</v>
      </c>
      <c r="C12" s="449" t="s">
        <v>38</v>
      </c>
      <c r="D12" s="449"/>
    </row>
    <row r="13" spans="1:4" s="147" customFormat="1" ht="53.25" customHeight="1">
      <c r="A13" s="66" t="s">
        <v>13</v>
      </c>
      <c r="B13" s="25" t="s">
        <v>265</v>
      </c>
      <c r="C13" s="448" t="s">
        <v>38</v>
      </c>
      <c r="D13" s="448"/>
    </row>
    <row r="14" spans="1:4" ht="0.75" customHeight="1" hidden="1">
      <c r="A14" s="447"/>
      <c r="B14" s="447"/>
      <c r="C14" s="447"/>
      <c r="D14" s="447"/>
    </row>
    <row r="15" spans="1:4" ht="15.75" hidden="1">
      <c r="A15" s="145"/>
      <c r="B15" s="148"/>
      <c r="C15" s="448"/>
      <c r="D15" s="448"/>
    </row>
    <row r="16" spans="1:4" ht="15.75" hidden="1">
      <c r="A16" s="145"/>
      <c r="B16" s="148"/>
      <c r="C16" s="448"/>
      <c r="D16" s="448"/>
    </row>
    <row r="17" spans="1:4" ht="15.75" hidden="1">
      <c r="A17" s="145"/>
      <c r="B17" s="148"/>
      <c r="C17" s="448"/>
      <c r="D17" s="448"/>
    </row>
    <row r="18" spans="1:4" ht="15.75" hidden="1">
      <c r="A18" s="145"/>
      <c r="B18" s="148"/>
      <c r="C18" s="448"/>
      <c r="D18" s="448"/>
    </row>
    <row r="19" spans="1:4" ht="15.75" hidden="1">
      <c r="A19" s="145"/>
      <c r="B19" s="148"/>
      <c r="C19" s="448"/>
      <c r="D19" s="448"/>
    </row>
    <row r="20" spans="1:4" ht="15.75" hidden="1">
      <c r="A20" s="145"/>
      <c r="B20" s="148"/>
      <c r="C20" s="448"/>
      <c r="D20" s="448"/>
    </row>
    <row r="21" spans="1:4" ht="15.75" hidden="1">
      <c r="A21" s="149"/>
      <c r="B21" s="150"/>
      <c r="C21" s="151"/>
      <c r="D21" s="152"/>
    </row>
    <row r="22" spans="1:4" ht="12.75" customHeight="1">
      <c r="A22" s="447" t="s">
        <v>266</v>
      </c>
      <c r="B22" s="447"/>
      <c r="C22" s="447"/>
      <c r="D22" s="447"/>
    </row>
    <row r="23" spans="1:4" ht="12.75" customHeight="1">
      <c r="A23" s="145">
        <v>7</v>
      </c>
      <c r="B23" s="148" t="s">
        <v>255</v>
      </c>
      <c r="C23" s="448" t="s">
        <v>267</v>
      </c>
      <c r="D23" s="448"/>
    </row>
    <row r="24" spans="1:4" ht="12.75" customHeight="1">
      <c r="A24" s="145" t="s">
        <v>17</v>
      </c>
      <c r="B24" s="148" t="s">
        <v>259</v>
      </c>
      <c r="C24" s="448" t="s">
        <v>268</v>
      </c>
      <c r="D24" s="448"/>
    </row>
    <row r="25" spans="1:4" ht="12.75" customHeight="1">
      <c r="A25" s="145" t="s">
        <v>19</v>
      </c>
      <c r="B25" s="148" t="s">
        <v>263</v>
      </c>
      <c r="C25" s="448" t="s">
        <v>38</v>
      </c>
      <c r="D25" s="448"/>
    </row>
    <row r="26" spans="1:4" ht="12.75" customHeight="1">
      <c r="A26" s="145" t="s">
        <v>21</v>
      </c>
      <c r="B26" s="148" t="s">
        <v>269</v>
      </c>
      <c r="C26" s="448" t="s">
        <v>38</v>
      </c>
      <c r="D26" s="448"/>
    </row>
    <row r="27" spans="1:4" ht="12.75" customHeight="1">
      <c r="A27" s="145" t="s">
        <v>270</v>
      </c>
      <c r="B27" s="148" t="s">
        <v>271</v>
      </c>
      <c r="C27" s="448" t="s">
        <v>38</v>
      </c>
      <c r="D27" s="448"/>
    </row>
    <row r="28" spans="1:4" ht="12.75" customHeight="1">
      <c r="A28" s="145" t="s">
        <v>272</v>
      </c>
      <c r="B28" s="148" t="s">
        <v>273</v>
      </c>
      <c r="C28" s="448" t="s">
        <v>38</v>
      </c>
      <c r="D28" s="448"/>
    </row>
  </sheetData>
  <sheetProtection selectLockedCells="1" selectUnlockedCells="1"/>
  <mergeCells count="26">
    <mergeCell ref="C27:D27"/>
    <mergeCell ref="C28:D28"/>
    <mergeCell ref="C20:D20"/>
    <mergeCell ref="A22:D22"/>
    <mergeCell ref="C23:D23"/>
    <mergeCell ref="C24:D24"/>
    <mergeCell ref="C25:D25"/>
    <mergeCell ref="C26:D26"/>
    <mergeCell ref="A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1:D1"/>
    <mergeCell ref="A2:E2"/>
    <mergeCell ref="A3:D3"/>
    <mergeCell ref="C5:D5"/>
    <mergeCell ref="A6:D6"/>
    <mergeCell ref="C7:D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93"/>
  <sheetViews>
    <sheetView zoomScalePageLayoutView="0" workbookViewId="0" topLeftCell="A64">
      <selection activeCell="A91" sqref="A91:IV93"/>
    </sheetView>
  </sheetViews>
  <sheetFormatPr defaultColWidth="9.00390625" defaultRowHeight="12.75"/>
  <cols>
    <col min="1" max="1" width="4.375" style="0" customWidth="1"/>
    <col min="2" max="2" width="60.375" style="0" customWidth="1"/>
    <col min="3" max="3" width="16.625" style="0" customWidth="1"/>
    <col min="4" max="4" width="36.375" style="0" customWidth="1"/>
    <col min="5" max="5" width="5.625" style="0" customWidth="1"/>
  </cols>
  <sheetData>
    <row r="1" spans="1:4" ht="15.75">
      <c r="A1" s="417" t="s">
        <v>274</v>
      </c>
      <c r="B1" s="417"/>
      <c r="C1" s="417"/>
      <c r="D1" s="417"/>
    </row>
    <row r="2" spans="1:4" ht="15.75">
      <c r="A2" s="438" t="s">
        <v>23</v>
      </c>
      <c r="B2" s="438"/>
      <c r="C2" s="438"/>
      <c r="D2" s="438"/>
    </row>
    <row r="3" spans="1:4" ht="12.75">
      <c r="A3" s="439" t="s">
        <v>24</v>
      </c>
      <c r="B3" s="439"/>
      <c r="C3" s="439"/>
      <c r="D3" s="439"/>
    </row>
    <row r="4" spans="1:4" ht="15.75">
      <c r="A4" s="13"/>
      <c r="B4" s="13"/>
      <c r="C4" s="13"/>
      <c r="D4" s="13"/>
    </row>
    <row r="5" spans="1:4" ht="51.75" customHeight="1">
      <c r="A5" s="88" t="s">
        <v>199</v>
      </c>
      <c r="B5" s="87" t="s">
        <v>200</v>
      </c>
      <c r="C5" s="87" t="s">
        <v>275</v>
      </c>
      <c r="D5" s="88" t="s">
        <v>276</v>
      </c>
    </row>
    <row r="6" spans="1:4" ht="19.5" customHeight="1">
      <c r="A6" s="153"/>
      <c r="B6" s="153" t="s">
        <v>277</v>
      </c>
      <c r="C6" s="153"/>
      <c r="D6" s="153"/>
    </row>
    <row r="7" spans="1:5" ht="15.75">
      <c r="A7" s="154"/>
      <c r="B7" s="155" t="s">
        <v>278</v>
      </c>
      <c r="C7" s="114" t="s">
        <v>279</v>
      </c>
      <c r="D7" s="52" t="s">
        <v>63</v>
      </c>
      <c r="E7" s="124"/>
    </row>
    <row r="8" spans="1:4" ht="15.75">
      <c r="A8" s="154"/>
      <c r="B8" s="155" t="s">
        <v>280</v>
      </c>
      <c r="C8" s="114" t="s">
        <v>281</v>
      </c>
      <c r="D8" s="156" t="s">
        <v>63</v>
      </c>
    </row>
    <row r="9" spans="1:4" ht="15.75">
      <c r="A9" s="154"/>
      <c r="B9" s="155" t="s">
        <v>282</v>
      </c>
      <c r="C9" s="114" t="s">
        <v>281</v>
      </c>
      <c r="D9" s="156" t="s">
        <v>63</v>
      </c>
    </row>
    <row r="10" spans="1:4" ht="15.75">
      <c r="A10" s="154"/>
      <c r="B10" s="155" t="s">
        <v>283</v>
      </c>
      <c r="C10" s="114" t="s">
        <v>281</v>
      </c>
      <c r="D10" s="157" t="s">
        <v>63</v>
      </c>
    </row>
    <row r="11" spans="1:4" ht="15.75">
      <c r="A11" s="154"/>
      <c r="B11" s="155" t="s">
        <v>284</v>
      </c>
      <c r="C11" s="114" t="s">
        <v>281</v>
      </c>
      <c r="D11" s="156" t="s">
        <v>63</v>
      </c>
    </row>
    <row r="12" spans="1:4" ht="15.75">
      <c r="A12" s="154"/>
      <c r="B12" s="155" t="s">
        <v>285</v>
      </c>
      <c r="C12" s="114" t="s">
        <v>281</v>
      </c>
      <c r="D12" s="52" t="s">
        <v>63</v>
      </c>
    </row>
    <row r="13" spans="1:4" ht="15.75">
      <c r="A13" s="154"/>
      <c r="B13" s="155" t="s">
        <v>286</v>
      </c>
      <c r="C13" s="114" t="s">
        <v>281</v>
      </c>
      <c r="D13" s="52" t="s">
        <v>63</v>
      </c>
    </row>
    <row r="14" spans="1:4" ht="15.75">
      <c r="A14" s="154"/>
      <c r="B14" s="155" t="s">
        <v>287</v>
      </c>
      <c r="C14" s="114"/>
      <c r="D14" s="52" t="s">
        <v>63</v>
      </c>
    </row>
    <row r="15" spans="1:4" ht="15.75">
      <c r="A15" s="154"/>
      <c r="B15" s="155" t="s">
        <v>288</v>
      </c>
      <c r="C15" s="114" t="s">
        <v>289</v>
      </c>
      <c r="D15" s="52" t="s">
        <v>63</v>
      </c>
    </row>
    <row r="16" spans="1:4" ht="15.75">
      <c r="A16" s="154"/>
      <c r="B16" s="155" t="s">
        <v>290</v>
      </c>
      <c r="C16" s="114" t="s">
        <v>279</v>
      </c>
      <c r="D16" s="52" t="s">
        <v>63</v>
      </c>
    </row>
    <row r="17" spans="1:4" ht="15.75">
      <c r="A17" s="154"/>
      <c r="B17" s="155" t="s">
        <v>291</v>
      </c>
      <c r="C17" s="114" t="s">
        <v>279</v>
      </c>
      <c r="D17" s="52" t="s">
        <v>63</v>
      </c>
    </row>
    <row r="18" spans="1:4" ht="15.75">
      <c r="A18" s="154"/>
      <c r="B18" s="155" t="s">
        <v>292</v>
      </c>
      <c r="C18" s="114" t="s">
        <v>279</v>
      </c>
      <c r="D18" s="52" t="s">
        <v>63</v>
      </c>
    </row>
    <row r="19" spans="1:4" ht="15.75">
      <c r="A19" s="154"/>
      <c r="B19" s="155" t="s">
        <v>293</v>
      </c>
      <c r="C19" s="114" t="s">
        <v>279</v>
      </c>
      <c r="D19" s="52" t="s">
        <v>63</v>
      </c>
    </row>
    <row r="20" spans="1:4" ht="15.75">
      <c r="A20" s="154"/>
      <c r="B20" s="155" t="s">
        <v>294</v>
      </c>
      <c r="C20" s="114" t="s">
        <v>279</v>
      </c>
      <c r="D20" s="52" t="s">
        <v>63</v>
      </c>
    </row>
    <row r="21" spans="1:4" ht="15.75">
      <c r="A21" s="154"/>
      <c r="B21" s="155" t="s">
        <v>295</v>
      </c>
      <c r="C21" s="114" t="s">
        <v>279</v>
      </c>
      <c r="D21" s="52" t="s">
        <v>63</v>
      </c>
    </row>
    <row r="22" spans="1:4" ht="31.5">
      <c r="A22" s="154"/>
      <c r="B22" s="66" t="s">
        <v>296</v>
      </c>
      <c r="C22" s="114" t="s">
        <v>279</v>
      </c>
      <c r="D22" s="52" t="s">
        <v>63</v>
      </c>
    </row>
    <row r="23" spans="1:4" ht="15.75">
      <c r="A23" s="154"/>
      <c r="B23" s="154" t="s">
        <v>297</v>
      </c>
      <c r="C23" s="114" t="s">
        <v>279</v>
      </c>
      <c r="D23" s="52" t="s">
        <v>63</v>
      </c>
    </row>
    <row r="24" spans="1:4" ht="15.75">
      <c r="A24" s="154"/>
      <c r="B24" s="154" t="s">
        <v>298</v>
      </c>
      <c r="C24" s="114" t="s">
        <v>279</v>
      </c>
      <c r="D24" s="52" t="s">
        <v>63</v>
      </c>
    </row>
    <row r="25" spans="1:4" ht="15.75">
      <c r="A25" s="154"/>
      <c r="B25" s="154" t="s">
        <v>299</v>
      </c>
      <c r="C25" s="114" t="s">
        <v>279</v>
      </c>
      <c r="D25" s="52" t="s">
        <v>63</v>
      </c>
    </row>
    <row r="26" spans="1:4" ht="15.75">
      <c r="A26" s="154"/>
      <c r="B26" s="154" t="s">
        <v>300</v>
      </c>
      <c r="C26" s="114" t="s">
        <v>279</v>
      </c>
      <c r="D26" s="52" t="s">
        <v>63</v>
      </c>
    </row>
    <row r="27" spans="1:4" ht="15.75">
      <c r="A27" s="154"/>
      <c r="B27" s="154" t="s">
        <v>301</v>
      </c>
      <c r="C27" s="114" t="s">
        <v>279</v>
      </c>
      <c r="D27" s="52" t="s">
        <v>63</v>
      </c>
    </row>
    <row r="28" spans="1:4" ht="15.75">
      <c r="A28" s="154"/>
      <c r="B28" s="154" t="s">
        <v>302</v>
      </c>
      <c r="C28" s="114" t="s">
        <v>279</v>
      </c>
      <c r="D28" s="52" t="s">
        <v>63</v>
      </c>
    </row>
    <row r="29" spans="1:4" ht="31.5">
      <c r="A29" s="158"/>
      <c r="B29" s="38" t="s">
        <v>303</v>
      </c>
      <c r="C29" s="114" t="s">
        <v>279</v>
      </c>
      <c r="D29" s="52" t="s">
        <v>63</v>
      </c>
    </row>
    <row r="30" spans="1:4" ht="31.5">
      <c r="A30" s="154"/>
      <c r="B30" s="38" t="s">
        <v>304</v>
      </c>
      <c r="C30" s="114" t="s">
        <v>279</v>
      </c>
      <c r="D30" s="52" t="s">
        <v>63</v>
      </c>
    </row>
    <row r="31" spans="1:4" ht="31.5" customHeight="1">
      <c r="A31" s="154"/>
      <c r="B31" s="38" t="s">
        <v>305</v>
      </c>
      <c r="C31" s="114" t="s">
        <v>279</v>
      </c>
      <c r="D31" s="52" t="s">
        <v>63</v>
      </c>
    </row>
    <row r="32" spans="1:4" ht="47.25">
      <c r="A32" s="158"/>
      <c r="B32" s="38" t="s">
        <v>306</v>
      </c>
      <c r="C32" s="114" t="s">
        <v>279</v>
      </c>
      <c r="D32" s="52" t="s">
        <v>63</v>
      </c>
    </row>
    <row r="33" spans="1:4" ht="31.5">
      <c r="A33" s="154"/>
      <c r="B33" s="38" t="s">
        <v>307</v>
      </c>
      <c r="C33" s="114" t="s">
        <v>279</v>
      </c>
      <c r="D33" s="52" t="s">
        <v>63</v>
      </c>
    </row>
    <row r="34" spans="1:4" ht="31.5" customHeight="1">
      <c r="A34" s="154"/>
      <c r="B34" s="38" t="s">
        <v>308</v>
      </c>
      <c r="C34" s="114" t="s">
        <v>279</v>
      </c>
      <c r="D34" s="52" t="s">
        <v>63</v>
      </c>
    </row>
    <row r="35" spans="1:4" ht="31.5">
      <c r="A35" s="154"/>
      <c r="B35" s="38" t="s">
        <v>309</v>
      </c>
      <c r="C35" s="114" t="s">
        <v>279</v>
      </c>
      <c r="D35" s="52" t="s">
        <v>63</v>
      </c>
    </row>
    <row r="36" spans="1:4" ht="47.25">
      <c r="A36" s="158"/>
      <c r="B36" s="38" t="s">
        <v>310</v>
      </c>
      <c r="C36" s="114" t="s">
        <v>279</v>
      </c>
      <c r="D36" s="52" t="s">
        <v>63</v>
      </c>
    </row>
    <row r="37" spans="1:4" ht="47.25">
      <c r="A37" s="154"/>
      <c r="B37" s="38" t="s">
        <v>311</v>
      </c>
      <c r="C37" s="114" t="s">
        <v>279</v>
      </c>
      <c r="D37" s="52" t="s">
        <v>63</v>
      </c>
    </row>
    <row r="38" spans="1:4" ht="47.25">
      <c r="A38" s="154"/>
      <c r="B38" s="38" t="s">
        <v>312</v>
      </c>
      <c r="C38" s="114" t="s">
        <v>279</v>
      </c>
      <c r="D38" s="52" t="s">
        <v>63</v>
      </c>
    </row>
    <row r="39" spans="1:4" ht="45" customHeight="1">
      <c r="A39" s="154"/>
      <c r="B39" s="38" t="s">
        <v>313</v>
      </c>
      <c r="C39" s="159" t="s">
        <v>314</v>
      </c>
      <c r="D39" s="52" t="s">
        <v>63</v>
      </c>
    </row>
    <row r="40" spans="1:4" ht="15.75">
      <c r="A40" s="154"/>
      <c r="B40" s="155" t="s">
        <v>315</v>
      </c>
      <c r="C40" s="114" t="s">
        <v>279</v>
      </c>
      <c r="D40" s="52" t="s">
        <v>63</v>
      </c>
    </row>
    <row r="41" spans="1:4" ht="15.75">
      <c r="A41" s="154"/>
      <c r="B41" s="38" t="s">
        <v>316</v>
      </c>
      <c r="C41" s="114" t="s">
        <v>317</v>
      </c>
      <c r="D41" s="52" t="s">
        <v>63</v>
      </c>
    </row>
    <row r="42" spans="1:4" ht="31.5">
      <c r="A42" s="154"/>
      <c r="B42" s="38" t="s">
        <v>318</v>
      </c>
      <c r="C42" s="114" t="s">
        <v>279</v>
      </c>
      <c r="D42" s="52" t="s">
        <v>63</v>
      </c>
    </row>
    <row r="43" spans="1:4" ht="31.5">
      <c r="A43" s="158"/>
      <c r="B43" s="38" t="s">
        <v>319</v>
      </c>
      <c r="C43" s="114" t="s">
        <v>279</v>
      </c>
      <c r="D43" s="52" t="s">
        <v>63</v>
      </c>
    </row>
    <row r="44" spans="1:4" ht="31.5">
      <c r="A44" s="154"/>
      <c r="B44" s="38" t="s">
        <v>320</v>
      </c>
      <c r="C44" s="114" t="s">
        <v>279</v>
      </c>
      <c r="D44" s="52" t="s">
        <v>63</v>
      </c>
    </row>
    <row r="45" spans="1:4" ht="31.5">
      <c r="A45" s="154"/>
      <c r="B45" s="38" t="s">
        <v>321</v>
      </c>
      <c r="C45" s="114" t="s">
        <v>279</v>
      </c>
      <c r="D45" s="52" t="s">
        <v>63</v>
      </c>
    </row>
    <row r="46" spans="1:4" ht="15.75">
      <c r="A46" s="154"/>
      <c r="B46" s="155" t="s">
        <v>322</v>
      </c>
      <c r="C46" s="114" t="s">
        <v>279</v>
      </c>
      <c r="D46" s="52" t="s">
        <v>63</v>
      </c>
    </row>
    <row r="47" spans="1:4" ht="15.75">
      <c r="A47" s="154"/>
      <c r="B47" s="155" t="s">
        <v>323</v>
      </c>
      <c r="C47" s="114" t="s">
        <v>279</v>
      </c>
      <c r="D47" s="52" t="s">
        <v>63</v>
      </c>
    </row>
    <row r="48" spans="1:4" ht="31.5">
      <c r="A48" s="154"/>
      <c r="B48" s="38" t="s">
        <v>324</v>
      </c>
      <c r="C48" s="114" t="s">
        <v>279</v>
      </c>
      <c r="D48" s="52" t="s">
        <v>63</v>
      </c>
    </row>
    <row r="49" spans="1:4" ht="15.75">
      <c r="A49" s="154"/>
      <c r="B49" s="155" t="s">
        <v>325</v>
      </c>
      <c r="C49" s="114" t="s">
        <v>279</v>
      </c>
      <c r="D49" s="52" t="s">
        <v>63</v>
      </c>
    </row>
    <row r="50" spans="1:4" ht="31.5">
      <c r="A50" s="158"/>
      <c r="B50" s="38" t="s">
        <v>326</v>
      </c>
      <c r="C50" s="114" t="s">
        <v>279</v>
      </c>
      <c r="D50" s="52" t="s">
        <v>63</v>
      </c>
    </row>
    <row r="51" spans="1:4" ht="15.75">
      <c r="A51" s="154"/>
      <c r="B51" s="155" t="s">
        <v>327</v>
      </c>
      <c r="C51" s="114"/>
      <c r="D51" s="52" t="s">
        <v>63</v>
      </c>
    </row>
    <row r="52" spans="1:4" ht="15.75">
      <c r="A52" s="154"/>
      <c r="B52" s="155" t="s">
        <v>328</v>
      </c>
      <c r="C52" s="114" t="s">
        <v>329</v>
      </c>
      <c r="D52" s="52" t="s">
        <v>63</v>
      </c>
    </row>
    <row r="53" spans="1:4" ht="15.75">
      <c r="A53" s="158"/>
      <c r="B53" s="155" t="s">
        <v>330</v>
      </c>
      <c r="C53" s="114" t="s">
        <v>329</v>
      </c>
      <c r="D53" s="52" t="s">
        <v>63</v>
      </c>
    </row>
    <row r="54" spans="1:4" ht="15.75">
      <c r="A54" s="158"/>
      <c r="B54" s="155" t="s">
        <v>331</v>
      </c>
      <c r="C54" s="114" t="s">
        <v>329</v>
      </c>
      <c r="D54" s="52" t="s">
        <v>63</v>
      </c>
    </row>
    <row r="55" spans="1:4" ht="15.75">
      <c r="A55" s="154"/>
      <c r="B55" s="155" t="s">
        <v>332</v>
      </c>
      <c r="C55" s="114" t="s">
        <v>333</v>
      </c>
      <c r="D55" s="52" t="s">
        <v>63</v>
      </c>
    </row>
    <row r="56" spans="1:4" ht="15.75">
      <c r="A56" s="154"/>
      <c r="B56" s="155" t="s">
        <v>334</v>
      </c>
      <c r="C56" s="114"/>
      <c r="D56" s="52" t="s">
        <v>63</v>
      </c>
    </row>
    <row r="57" spans="1:4" ht="15.75">
      <c r="A57" s="154"/>
      <c r="B57" s="155" t="s">
        <v>335</v>
      </c>
      <c r="C57" s="114" t="s">
        <v>329</v>
      </c>
      <c r="D57" s="52" t="s">
        <v>63</v>
      </c>
    </row>
    <row r="58" spans="1:4" ht="15.75">
      <c r="A58" s="154"/>
      <c r="B58" s="155" t="s">
        <v>330</v>
      </c>
      <c r="C58" s="114" t="s">
        <v>329</v>
      </c>
      <c r="D58" s="52" t="s">
        <v>63</v>
      </c>
    </row>
    <row r="59" spans="1:4" ht="15.75">
      <c r="A59" s="154"/>
      <c r="B59" s="155" t="s">
        <v>278</v>
      </c>
      <c r="C59" s="114"/>
      <c r="D59" s="52" t="s">
        <v>63</v>
      </c>
    </row>
    <row r="60" spans="1:4" ht="15.75">
      <c r="A60" s="154"/>
      <c r="B60" s="155" t="s">
        <v>336</v>
      </c>
      <c r="C60" s="114" t="s">
        <v>279</v>
      </c>
      <c r="D60" s="52" t="s">
        <v>63</v>
      </c>
    </row>
    <row r="61" spans="1:4" ht="15.75">
      <c r="A61" s="154"/>
      <c r="B61" s="155" t="s">
        <v>337</v>
      </c>
      <c r="C61" s="114" t="s">
        <v>279</v>
      </c>
      <c r="D61" s="52" t="s">
        <v>63</v>
      </c>
    </row>
    <row r="62" spans="1:4" ht="15.75">
      <c r="A62" s="154"/>
      <c r="B62" s="155" t="s">
        <v>338</v>
      </c>
      <c r="C62" s="114" t="s">
        <v>279</v>
      </c>
      <c r="D62" s="52" t="s">
        <v>63</v>
      </c>
    </row>
    <row r="63" spans="1:4" ht="15.75">
      <c r="A63" s="154"/>
      <c r="B63" s="155" t="s">
        <v>339</v>
      </c>
      <c r="C63" s="114" t="s">
        <v>279</v>
      </c>
      <c r="D63" s="52" t="s">
        <v>63</v>
      </c>
    </row>
    <row r="64" spans="1:4" ht="14.25" customHeight="1">
      <c r="A64" s="154"/>
      <c r="B64" s="38" t="s">
        <v>340</v>
      </c>
      <c r="C64" s="114" t="s">
        <v>279</v>
      </c>
      <c r="D64" s="52" t="s">
        <v>63</v>
      </c>
    </row>
    <row r="65" spans="1:4" ht="31.5">
      <c r="A65" s="154"/>
      <c r="B65" s="38" t="s">
        <v>341</v>
      </c>
      <c r="C65" s="114" t="s">
        <v>279</v>
      </c>
      <c r="D65" s="52" t="s">
        <v>63</v>
      </c>
    </row>
    <row r="66" spans="1:4" ht="31.5">
      <c r="A66" s="154"/>
      <c r="B66" s="38" t="s">
        <v>342</v>
      </c>
      <c r="C66" s="114" t="s">
        <v>279</v>
      </c>
      <c r="D66" s="52" t="s">
        <v>63</v>
      </c>
    </row>
    <row r="67" spans="1:4" ht="15.75">
      <c r="A67" s="160"/>
      <c r="B67" s="153" t="s">
        <v>343</v>
      </c>
      <c r="C67" s="153"/>
      <c r="D67" s="153"/>
    </row>
    <row r="68" spans="1:4" ht="14.25" customHeight="1">
      <c r="A68" s="154"/>
      <c r="B68" s="155" t="s">
        <v>344</v>
      </c>
      <c r="C68" s="114" t="s">
        <v>279</v>
      </c>
      <c r="D68" s="52">
        <v>23</v>
      </c>
    </row>
    <row r="69" spans="1:4" ht="15.75">
      <c r="A69" s="154"/>
      <c r="B69" s="155" t="s">
        <v>345</v>
      </c>
      <c r="C69" s="114" t="s">
        <v>281</v>
      </c>
      <c r="D69" s="52">
        <v>306.4</v>
      </c>
    </row>
    <row r="70" spans="1:4" ht="15.75">
      <c r="A70" s="154"/>
      <c r="B70" s="155" t="s">
        <v>82</v>
      </c>
      <c r="C70" s="114"/>
      <c r="D70" s="52"/>
    </row>
    <row r="71" spans="1:4" ht="15.75">
      <c r="A71" s="154"/>
      <c r="B71" s="155" t="s">
        <v>346</v>
      </c>
      <c r="C71" s="114" t="s">
        <v>279</v>
      </c>
      <c r="D71" s="52">
        <v>1</v>
      </c>
    </row>
    <row r="72" spans="1:4" ht="15.75">
      <c r="A72" s="154"/>
      <c r="B72" s="155" t="s">
        <v>345</v>
      </c>
      <c r="C72" s="114" t="s">
        <v>281</v>
      </c>
      <c r="D72" s="52">
        <v>5.9</v>
      </c>
    </row>
    <row r="73" spans="1:4" ht="15.75">
      <c r="A73" s="154"/>
      <c r="B73" s="155" t="s">
        <v>347</v>
      </c>
      <c r="C73" s="114" t="s">
        <v>279</v>
      </c>
      <c r="D73" s="52" t="s">
        <v>63</v>
      </c>
    </row>
    <row r="74" spans="1:4" ht="15.75">
      <c r="A74" s="154"/>
      <c r="B74" s="155" t="s">
        <v>348</v>
      </c>
      <c r="C74" s="114" t="s">
        <v>281</v>
      </c>
      <c r="D74" s="52" t="s">
        <v>63</v>
      </c>
    </row>
    <row r="75" spans="1:4" ht="15.75">
      <c r="A75" s="154"/>
      <c r="B75" s="155" t="s">
        <v>349</v>
      </c>
      <c r="C75" s="114" t="s">
        <v>279</v>
      </c>
      <c r="D75" s="52" t="s">
        <v>63</v>
      </c>
    </row>
    <row r="76" spans="1:4" ht="15.75">
      <c r="A76" s="154"/>
      <c r="B76" s="155" t="s">
        <v>350</v>
      </c>
      <c r="C76" s="114" t="s">
        <v>281</v>
      </c>
      <c r="D76" s="52" t="s">
        <v>63</v>
      </c>
    </row>
    <row r="77" spans="1:4" ht="15.75">
      <c r="A77" s="154"/>
      <c r="B77" s="155" t="s">
        <v>351</v>
      </c>
      <c r="C77" s="114" t="s">
        <v>279</v>
      </c>
      <c r="D77" s="52">
        <v>11</v>
      </c>
    </row>
    <row r="78" spans="1:4" ht="15.75">
      <c r="A78" s="154"/>
      <c r="B78" s="155" t="s">
        <v>345</v>
      </c>
      <c r="C78" s="114" t="s">
        <v>281</v>
      </c>
      <c r="D78" s="52">
        <v>186.8</v>
      </c>
    </row>
    <row r="79" spans="1:4" ht="15.75">
      <c r="A79" s="161"/>
      <c r="B79" s="113" t="s">
        <v>352</v>
      </c>
      <c r="C79" s="101"/>
      <c r="D79" s="101" t="s">
        <v>63</v>
      </c>
    </row>
    <row r="80" spans="1:4" ht="15.75">
      <c r="A80" s="154"/>
      <c r="B80" s="155" t="s">
        <v>353</v>
      </c>
      <c r="C80" s="114" t="s">
        <v>279</v>
      </c>
      <c r="D80" s="52" t="s">
        <v>63</v>
      </c>
    </row>
    <row r="81" spans="1:4" ht="15.75">
      <c r="A81" s="154"/>
      <c r="B81" s="155" t="s">
        <v>345</v>
      </c>
      <c r="C81" s="114" t="s">
        <v>281</v>
      </c>
      <c r="D81" s="52" t="s">
        <v>63</v>
      </c>
    </row>
    <row r="82" spans="1:4" ht="15.75">
      <c r="A82" s="154"/>
      <c r="B82" s="155" t="s">
        <v>354</v>
      </c>
      <c r="C82" s="114" t="s">
        <v>279</v>
      </c>
      <c r="D82" s="52" t="s">
        <v>63</v>
      </c>
    </row>
    <row r="83" spans="1:4" ht="15.75">
      <c r="A83" s="154"/>
      <c r="B83" s="155" t="s">
        <v>345</v>
      </c>
      <c r="C83" s="114" t="s">
        <v>281</v>
      </c>
      <c r="D83" s="52" t="s">
        <v>63</v>
      </c>
    </row>
    <row r="84" spans="1:4" s="162" customFormat="1" ht="15.75">
      <c r="A84" s="154"/>
      <c r="B84" s="155" t="s">
        <v>355</v>
      </c>
      <c r="C84" s="114" t="s">
        <v>279</v>
      </c>
      <c r="D84" s="52">
        <v>11</v>
      </c>
    </row>
    <row r="85" spans="1:4" ht="15.75">
      <c r="A85" s="154"/>
      <c r="B85" s="155" t="s">
        <v>345</v>
      </c>
      <c r="C85" s="114" t="s">
        <v>281</v>
      </c>
      <c r="D85" s="52">
        <v>113.9</v>
      </c>
    </row>
    <row r="86" spans="1:4" ht="15.75">
      <c r="A86" s="160"/>
      <c r="B86" s="153" t="s">
        <v>356</v>
      </c>
      <c r="C86" s="153"/>
      <c r="D86" s="153"/>
    </row>
    <row r="87" spans="1:4" ht="15.75">
      <c r="A87" s="154"/>
      <c r="B87" s="155" t="s">
        <v>357</v>
      </c>
      <c r="C87" s="114" t="s">
        <v>279</v>
      </c>
      <c r="D87" s="52" t="s">
        <v>63</v>
      </c>
    </row>
    <row r="88" spans="1:4" ht="15.75">
      <c r="A88" s="154"/>
      <c r="B88" s="155" t="s">
        <v>345</v>
      </c>
      <c r="C88" s="114" t="s">
        <v>281</v>
      </c>
      <c r="D88" s="156" t="s">
        <v>63</v>
      </c>
    </row>
    <row r="89" spans="1:4" ht="12.75">
      <c r="A89" s="122"/>
      <c r="B89" s="163"/>
      <c r="C89" s="122"/>
      <c r="D89" s="122"/>
    </row>
    <row r="91" s="164" customFormat="1" ht="12">
      <c r="A91" s="164" t="s">
        <v>358</v>
      </c>
    </row>
    <row r="92" s="164" customFormat="1" ht="12">
      <c r="A92" s="164" t="s">
        <v>589</v>
      </c>
    </row>
    <row r="93" s="164" customFormat="1" ht="12">
      <c r="A93" s="164" t="s">
        <v>588</v>
      </c>
    </row>
    <row r="94" s="164" customFormat="1" ht="12"/>
    <row r="95" s="164" customFormat="1" ht="12"/>
  </sheetData>
  <sheetProtection selectLockedCells="1" selectUnlockedCells="1"/>
  <mergeCells count="3">
    <mergeCell ref="A1:D1"/>
    <mergeCell ref="A2:D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2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7.375" style="0" customWidth="1"/>
    <col min="2" max="2" width="56.375" style="0" customWidth="1"/>
    <col min="3" max="3" width="16.375" style="0" customWidth="1"/>
    <col min="4" max="4" width="17.375" style="0" customWidth="1"/>
  </cols>
  <sheetData>
    <row r="1" spans="1:4" ht="15.75">
      <c r="A1" s="417" t="s">
        <v>359</v>
      </c>
      <c r="B1" s="417"/>
      <c r="C1" s="417"/>
      <c r="D1" s="417"/>
    </row>
    <row r="2" spans="1:5" ht="15.75">
      <c r="A2" s="438" t="s">
        <v>23</v>
      </c>
      <c r="B2" s="438"/>
      <c r="C2" s="438"/>
      <c r="D2" s="438"/>
      <c r="E2" s="438"/>
    </row>
    <row r="3" spans="1:4" ht="12.75">
      <c r="A3" s="439" t="s">
        <v>24</v>
      </c>
      <c r="B3" s="439"/>
      <c r="C3" s="439"/>
      <c r="D3" s="439"/>
    </row>
    <row r="4" spans="1:4" ht="15.75">
      <c r="A4" s="13"/>
      <c r="B4" s="13"/>
      <c r="C4" s="13"/>
      <c r="D4" s="13"/>
    </row>
    <row r="5" spans="1:4" ht="31.5">
      <c r="A5" s="165" t="s">
        <v>199</v>
      </c>
      <c r="B5" s="165" t="s">
        <v>200</v>
      </c>
      <c r="C5" s="165" t="s">
        <v>275</v>
      </c>
      <c r="D5" s="144" t="s">
        <v>253</v>
      </c>
    </row>
    <row r="6" spans="1:4" ht="15.75">
      <c r="A6" s="153"/>
      <c r="B6" s="153" t="s">
        <v>360</v>
      </c>
      <c r="C6" s="153"/>
      <c r="D6" s="153"/>
    </row>
    <row r="7" spans="1:4" ht="15.75">
      <c r="A7" s="103"/>
      <c r="B7" s="31" t="s">
        <v>361</v>
      </c>
      <c r="C7" s="103" t="s">
        <v>362</v>
      </c>
      <c r="D7" s="42">
        <v>59</v>
      </c>
    </row>
    <row r="8" spans="1:4" ht="15.75">
      <c r="A8" s="103"/>
      <c r="B8" s="31" t="s">
        <v>363</v>
      </c>
      <c r="C8" s="103" t="s">
        <v>362</v>
      </c>
      <c r="D8" s="42">
        <v>4</v>
      </c>
    </row>
    <row r="9" spans="1:4" ht="15.75">
      <c r="A9" s="103"/>
      <c r="B9" s="31" t="s">
        <v>364</v>
      </c>
      <c r="C9" s="103" t="s">
        <v>362</v>
      </c>
      <c r="D9" s="42">
        <v>4</v>
      </c>
    </row>
    <row r="10" spans="1:4" ht="15.75">
      <c r="A10" s="103"/>
      <c r="B10" s="31" t="s">
        <v>365</v>
      </c>
      <c r="C10" s="103" t="s">
        <v>366</v>
      </c>
      <c r="D10" s="42">
        <v>1</v>
      </c>
    </row>
    <row r="11" spans="1:4" ht="15.75">
      <c r="A11" s="103"/>
      <c r="B11" s="31" t="s">
        <v>367</v>
      </c>
      <c r="C11" s="103" t="s">
        <v>362</v>
      </c>
      <c r="D11" s="42">
        <v>36</v>
      </c>
    </row>
    <row r="12" spans="1:4" ht="15.75">
      <c r="A12" s="103"/>
      <c r="B12" s="31" t="s">
        <v>368</v>
      </c>
      <c r="C12" s="103" t="s">
        <v>366</v>
      </c>
      <c r="D12" s="42">
        <v>1</v>
      </c>
    </row>
    <row r="13" spans="1:4" ht="31.5">
      <c r="A13" s="103"/>
      <c r="B13" s="148" t="s">
        <v>369</v>
      </c>
      <c r="C13" s="166" t="s">
        <v>370</v>
      </c>
      <c r="D13" s="42">
        <v>1</v>
      </c>
    </row>
    <row r="14" spans="1:4" ht="15.75">
      <c r="A14" s="103"/>
      <c r="B14" s="31" t="s">
        <v>371</v>
      </c>
      <c r="C14" s="103" t="s">
        <v>372</v>
      </c>
      <c r="D14" s="42">
        <v>8</v>
      </c>
    </row>
    <row r="15" spans="1:4" ht="15.75">
      <c r="A15" s="103"/>
      <c r="B15" s="31" t="s">
        <v>373</v>
      </c>
      <c r="C15" s="103" t="s">
        <v>362</v>
      </c>
      <c r="D15" s="42">
        <v>4</v>
      </c>
    </row>
    <row r="16" spans="1:4" ht="15.75">
      <c r="A16" s="153"/>
      <c r="B16" s="153" t="s">
        <v>374</v>
      </c>
      <c r="C16" s="153"/>
      <c r="D16" s="153"/>
    </row>
    <row r="17" spans="1:4" ht="15.75">
      <c r="A17" s="103"/>
      <c r="B17" s="31" t="s">
        <v>375</v>
      </c>
      <c r="C17" s="103" t="s">
        <v>362</v>
      </c>
      <c r="D17" s="42">
        <v>1</v>
      </c>
    </row>
    <row r="18" spans="1:4" ht="15.75">
      <c r="A18" s="103"/>
      <c r="B18" s="31" t="s">
        <v>376</v>
      </c>
      <c r="C18" s="103" t="s">
        <v>362</v>
      </c>
      <c r="D18" s="60">
        <v>4</v>
      </c>
    </row>
    <row r="19" spans="1:4" ht="15.75">
      <c r="A19" s="103"/>
      <c r="B19" s="31" t="s">
        <v>377</v>
      </c>
      <c r="C19" s="103" t="s">
        <v>362</v>
      </c>
      <c r="D19" s="42">
        <v>0</v>
      </c>
    </row>
    <row r="20" spans="1:4" ht="15.75">
      <c r="A20" s="103"/>
      <c r="B20" s="31" t="s">
        <v>378</v>
      </c>
      <c r="C20" s="103" t="s">
        <v>362</v>
      </c>
      <c r="D20" s="42">
        <v>0</v>
      </c>
    </row>
    <row r="21" spans="1:4" ht="15.75">
      <c r="A21" s="167"/>
      <c r="B21" s="168"/>
      <c r="C21" s="103" t="s">
        <v>362</v>
      </c>
      <c r="D21" s="42"/>
    </row>
    <row r="22" spans="1:4" ht="15.75">
      <c r="A22" s="153"/>
      <c r="B22" s="153" t="s">
        <v>379</v>
      </c>
      <c r="C22" s="153"/>
      <c r="D22" s="153"/>
    </row>
    <row r="23" spans="1:4" ht="15.75">
      <c r="A23" s="103"/>
      <c r="B23" s="31" t="s">
        <v>248</v>
      </c>
      <c r="C23" s="103" t="s">
        <v>362</v>
      </c>
      <c r="D23" s="42">
        <v>0</v>
      </c>
    </row>
    <row r="24" spans="1:4" ht="15.75">
      <c r="A24" s="169"/>
      <c r="B24" s="48" t="s">
        <v>380</v>
      </c>
      <c r="C24" s="169"/>
      <c r="D24" s="169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AC29"/>
  <sheetViews>
    <sheetView zoomScalePageLayoutView="0" workbookViewId="0" topLeftCell="A1">
      <pane xSplit="2" ySplit="5" topLeftCell="X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AA5" sqref="AA5"/>
    </sheetView>
  </sheetViews>
  <sheetFormatPr defaultColWidth="9.375" defaultRowHeight="12.75"/>
  <cols>
    <col min="1" max="1" width="4.00390625" style="170" customWidth="1"/>
    <col min="2" max="2" width="29.00390625" style="170" customWidth="1"/>
    <col min="3" max="3" width="9.375" style="170" customWidth="1"/>
    <col min="4" max="9" width="13.375" style="170" customWidth="1"/>
    <col min="10" max="10" width="10.375" style="170" customWidth="1"/>
    <col min="11" max="11" width="14.00390625" style="170" customWidth="1"/>
    <col min="12" max="12" width="10.375" style="170" customWidth="1"/>
    <col min="13" max="13" width="14.625" style="170" customWidth="1"/>
    <col min="14" max="14" width="10.375" style="170" customWidth="1"/>
    <col min="15" max="15" width="14.625" style="170" customWidth="1"/>
    <col min="16" max="16" width="13.375" style="170" customWidth="1"/>
    <col min="17" max="17" width="13.625" style="170" customWidth="1"/>
    <col min="18" max="18" width="13.25390625" style="170" customWidth="1"/>
    <col min="19" max="19" width="13.625" style="170" customWidth="1"/>
    <col min="20" max="20" width="12.375" style="170" customWidth="1"/>
    <col min="21" max="21" width="13.375" style="170" customWidth="1"/>
    <col min="22" max="22" width="11.625" style="170" customWidth="1"/>
    <col min="23" max="23" width="13.625" style="170" customWidth="1"/>
    <col min="24" max="24" width="12.25390625" style="170" customWidth="1"/>
    <col min="25" max="25" width="14.125" style="170" customWidth="1"/>
    <col min="26" max="26" width="12.25390625" style="170" customWidth="1"/>
    <col min="27" max="27" width="14.125" style="170" customWidth="1"/>
    <col min="28" max="28" width="10.75390625" style="170" customWidth="1"/>
    <col min="29" max="29" width="15.25390625" style="170" customWidth="1"/>
    <col min="30" max="16384" width="9.375" style="170" customWidth="1"/>
  </cols>
  <sheetData>
    <row r="1" spans="1:4" ht="15.75">
      <c r="A1" s="417" t="s">
        <v>16</v>
      </c>
      <c r="B1" s="417"/>
      <c r="C1" s="417"/>
      <c r="D1" s="417"/>
    </row>
    <row r="2" spans="1:6" ht="15.75">
      <c r="A2" s="438" t="s">
        <v>23</v>
      </c>
      <c r="B2" s="438"/>
      <c r="C2" s="438"/>
      <c r="D2" s="438"/>
      <c r="E2" s="438"/>
      <c r="F2" s="438"/>
    </row>
    <row r="3" spans="1:4" ht="12.75">
      <c r="A3" s="418" t="s">
        <v>24</v>
      </c>
      <c r="B3" s="418"/>
      <c r="C3" s="418"/>
      <c r="D3" s="418"/>
    </row>
    <row r="4" spans="1:4" ht="15.75">
      <c r="A4" s="13"/>
      <c r="B4" s="13"/>
      <c r="C4" s="13"/>
      <c r="D4" s="13"/>
    </row>
    <row r="5" spans="1:29" s="143" customFormat="1" ht="51.75" customHeight="1">
      <c r="A5" s="88" t="s">
        <v>199</v>
      </c>
      <c r="B5" s="88" t="s">
        <v>200</v>
      </c>
      <c r="C5" s="88" t="s">
        <v>381</v>
      </c>
      <c r="D5" s="88" t="s">
        <v>382</v>
      </c>
      <c r="E5" s="88" t="s">
        <v>383</v>
      </c>
      <c r="F5" s="88" t="s">
        <v>384</v>
      </c>
      <c r="G5" s="88" t="s">
        <v>385</v>
      </c>
      <c r="H5" s="63" t="s">
        <v>386</v>
      </c>
      <c r="I5" s="88" t="s">
        <v>387</v>
      </c>
      <c r="J5" s="63" t="s">
        <v>388</v>
      </c>
      <c r="K5" s="88" t="s">
        <v>389</v>
      </c>
      <c r="L5" s="63" t="s">
        <v>390</v>
      </c>
      <c r="M5" s="88" t="s">
        <v>391</v>
      </c>
      <c r="N5" s="63" t="s">
        <v>392</v>
      </c>
      <c r="O5" s="88" t="s">
        <v>393</v>
      </c>
      <c r="P5" s="171" t="s">
        <v>394</v>
      </c>
      <c r="Q5" s="88" t="s">
        <v>395</v>
      </c>
      <c r="R5" s="171" t="s">
        <v>396</v>
      </c>
      <c r="S5" s="88" t="s">
        <v>397</v>
      </c>
      <c r="T5" s="172" t="s">
        <v>398</v>
      </c>
      <c r="U5" s="173" t="s">
        <v>399</v>
      </c>
      <c r="V5" s="172" t="s">
        <v>400</v>
      </c>
      <c r="W5" s="173" t="s">
        <v>401</v>
      </c>
      <c r="X5" s="172" t="s">
        <v>579</v>
      </c>
      <c r="Y5" s="292" t="s">
        <v>580</v>
      </c>
      <c r="Z5" s="293" t="s">
        <v>590</v>
      </c>
      <c r="AA5" s="296" t="s">
        <v>641</v>
      </c>
      <c r="AB5" s="293" t="s">
        <v>640</v>
      </c>
      <c r="AC5" s="296" t="s">
        <v>642</v>
      </c>
    </row>
    <row r="6" spans="1:29" s="13" customFormat="1" ht="19.5" customHeight="1">
      <c r="A6" s="153"/>
      <c r="B6" s="153" t="s">
        <v>402</v>
      </c>
      <c r="C6" s="153"/>
      <c r="D6" s="153"/>
      <c r="E6" s="153"/>
      <c r="F6" s="153"/>
      <c r="G6" s="174"/>
      <c r="H6" s="174"/>
      <c r="I6" s="174"/>
      <c r="J6" s="174"/>
      <c r="K6" s="174"/>
      <c r="L6" s="174"/>
      <c r="M6" s="174"/>
      <c r="N6" s="174"/>
      <c r="O6" s="174"/>
      <c r="P6" s="175"/>
      <c r="Q6" s="176"/>
      <c r="R6" s="175"/>
      <c r="S6" s="177"/>
      <c r="T6" s="174"/>
      <c r="U6" s="174"/>
      <c r="V6" s="174"/>
      <c r="W6" s="174"/>
      <c r="X6" s="174"/>
      <c r="Y6" s="174"/>
      <c r="Z6" s="294"/>
      <c r="AA6" s="297"/>
      <c r="AB6" s="294"/>
      <c r="AC6" s="297"/>
    </row>
    <row r="7" spans="1:29" s="13" customFormat="1" ht="15.75">
      <c r="A7" s="103">
        <v>1</v>
      </c>
      <c r="B7" s="178" t="s">
        <v>403</v>
      </c>
      <c r="C7" s="103" t="s">
        <v>404</v>
      </c>
      <c r="D7" s="179">
        <v>31.77</v>
      </c>
      <c r="E7" s="179">
        <v>236.6</v>
      </c>
      <c r="F7" s="179">
        <v>204.25</v>
      </c>
      <c r="G7" s="180">
        <v>149.87</v>
      </c>
      <c r="H7" s="180">
        <v>350</v>
      </c>
      <c r="I7" s="181">
        <v>347.79</v>
      </c>
      <c r="J7" s="180">
        <f>96.53+56.57</f>
        <v>153.1</v>
      </c>
      <c r="K7" s="181">
        <v>153.1</v>
      </c>
      <c r="L7" s="180">
        <f>96.53+56.57</f>
        <v>153.1</v>
      </c>
      <c r="M7" s="181">
        <v>221.9</v>
      </c>
      <c r="N7" s="180">
        <v>221.9</v>
      </c>
      <c r="O7" s="180">
        <v>275.65</v>
      </c>
      <c r="P7" s="182">
        <v>348</v>
      </c>
      <c r="Q7" s="181">
        <v>203.54</v>
      </c>
      <c r="R7" s="182">
        <v>348</v>
      </c>
      <c r="S7" s="183">
        <v>191.17</v>
      </c>
      <c r="T7" s="182">
        <v>348</v>
      </c>
      <c r="U7" s="31">
        <v>174.37</v>
      </c>
      <c r="V7" s="182">
        <v>348</v>
      </c>
      <c r="W7" s="31">
        <v>192.06</v>
      </c>
      <c r="X7" s="183">
        <v>348</v>
      </c>
      <c r="Y7" s="238">
        <v>204.93</v>
      </c>
      <c r="Z7" s="295">
        <v>280</v>
      </c>
      <c r="AA7" s="298">
        <v>208.66</v>
      </c>
      <c r="AB7" s="295">
        <v>240</v>
      </c>
      <c r="AC7" s="298">
        <v>208.53</v>
      </c>
    </row>
    <row r="8" spans="1:29" s="13" customFormat="1" ht="15.75">
      <c r="A8" s="103">
        <v>2</v>
      </c>
      <c r="B8" s="178" t="s">
        <v>405</v>
      </c>
      <c r="C8" s="103" t="s">
        <v>404</v>
      </c>
      <c r="D8" s="179">
        <v>31.77</v>
      </c>
      <c r="E8" s="179">
        <v>236.6</v>
      </c>
      <c r="F8" s="179">
        <v>204.25</v>
      </c>
      <c r="G8" s="181">
        <v>149.87</v>
      </c>
      <c r="H8" s="181">
        <v>350</v>
      </c>
      <c r="I8" s="181">
        <v>347.79</v>
      </c>
      <c r="J8" s="181">
        <f>+J7</f>
        <v>153.1</v>
      </c>
      <c r="K8" s="181">
        <v>153.1</v>
      </c>
      <c r="L8" s="181">
        <f>+L7</f>
        <v>153.1</v>
      </c>
      <c r="M8" s="181">
        <v>186.54</v>
      </c>
      <c r="N8" s="181">
        <v>186.54</v>
      </c>
      <c r="O8" s="181">
        <v>247.26</v>
      </c>
      <c r="P8" s="182">
        <v>348</v>
      </c>
      <c r="Q8" s="181">
        <v>203.54</v>
      </c>
      <c r="R8" s="182">
        <v>348</v>
      </c>
      <c r="S8" s="183">
        <v>191.17</v>
      </c>
      <c r="T8" s="182">
        <v>348</v>
      </c>
      <c r="U8" s="31">
        <v>174.37</v>
      </c>
      <c r="V8" s="182">
        <v>348</v>
      </c>
      <c r="W8" s="31">
        <v>192.06</v>
      </c>
      <c r="X8" s="183">
        <v>348</v>
      </c>
      <c r="Y8" s="238">
        <v>204.93</v>
      </c>
      <c r="Z8" s="295">
        <v>280</v>
      </c>
      <c r="AA8" s="298">
        <v>208.66</v>
      </c>
      <c r="AB8" s="295">
        <v>240</v>
      </c>
      <c r="AC8" s="298">
        <v>208.53</v>
      </c>
    </row>
    <row r="9" spans="1:29" s="13" customFormat="1" ht="15.75">
      <c r="A9" s="103">
        <v>3</v>
      </c>
      <c r="B9" s="178" t="s">
        <v>406</v>
      </c>
      <c r="C9" s="103" t="s">
        <v>407</v>
      </c>
      <c r="D9" s="179">
        <v>0</v>
      </c>
      <c r="E9" s="179">
        <v>0</v>
      </c>
      <c r="F9" s="179">
        <v>0</v>
      </c>
      <c r="G9" s="181">
        <v>0</v>
      </c>
      <c r="H9" s="450">
        <v>170</v>
      </c>
      <c r="I9" s="181">
        <v>2.89</v>
      </c>
      <c r="J9" s="450">
        <v>152.43</v>
      </c>
      <c r="K9" s="180">
        <v>2.42</v>
      </c>
      <c r="L9" s="450">
        <v>164.9</v>
      </c>
      <c r="M9" s="180">
        <v>1.42</v>
      </c>
      <c r="N9" s="450">
        <v>164.9</v>
      </c>
      <c r="O9" s="184">
        <v>1.5</v>
      </c>
      <c r="P9" s="453">
        <v>164.9</v>
      </c>
      <c r="Q9" s="181">
        <v>2.35</v>
      </c>
      <c r="R9" s="450">
        <v>143.9</v>
      </c>
      <c r="S9" s="182">
        <v>2.3</v>
      </c>
      <c r="T9" s="450">
        <v>143.9</v>
      </c>
      <c r="U9" s="185">
        <v>2.3</v>
      </c>
      <c r="V9" s="450">
        <v>143.9</v>
      </c>
      <c r="W9" s="185">
        <v>2.21</v>
      </c>
      <c r="X9" s="451">
        <v>143.9</v>
      </c>
      <c r="Y9" s="289">
        <v>1.932</v>
      </c>
      <c r="Z9" s="452">
        <v>110</v>
      </c>
      <c r="AA9" s="299">
        <v>3.15</v>
      </c>
      <c r="AB9" s="452">
        <v>98</v>
      </c>
      <c r="AC9" s="299">
        <v>1.77</v>
      </c>
    </row>
    <row r="10" spans="1:29" s="13" customFormat="1" ht="15.75">
      <c r="A10" s="103">
        <v>4</v>
      </c>
      <c r="B10" s="178" t="s">
        <v>408</v>
      </c>
      <c r="C10" s="103" t="s">
        <v>407</v>
      </c>
      <c r="D10" s="179">
        <v>26.1</v>
      </c>
      <c r="E10" s="179">
        <v>154.8</v>
      </c>
      <c r="F10" s="179">
        <v>133.06</v>
      </c>
      <c r="G10" s="181">
        <v>172.09</v>
      </c>
      <c r="H10" s="450"/>
      <c r="I10" s="181">
        <v>128.51</v>
      </c>
      <c r="J10" s="450"/>
      <c r="K10" s="181">
        <v>128.792</v>
      </c>
      <c r="L10" s="450"/>
      <c r="M10" s="181">
        <v>105.73</v>
      </c>
      <c r="N10" s="450"/>
      <c r="O10" s="184">
        <v>126.47</v>
      </c>
      <c r="P10" s="453"/>
      <c r="Q10" s="181">
        <v>121.21</v>
      </c>
      <c r="R10" s="450"/>
      <c r="S10" s="182">
        <v>123.44</v>
      </c>
      <c r="T10" s="450"/>
      <c r="U10" s="31">
        <v>132.43</v>
      </c>
      <c r="V10" s="450"/>
      <c r="W10" s="31">
        <v>122.14</v>
      </c>
      <c r="X10" s="451"/>
      <c r="Y10" s="289">
        <v>111.066095</v>
      </c>
      <c r="Z10" s="452"/>
      <c r="AA10" s="299">
        <v>78.27</v>
      </c>
      <c r="AB10" s="452"/>
      <c r="AC10" s="299">
        <v>86.32</v>
      </c>
    </row>
    <row r="11" spans="1:29" s="13" customFormat="1" ht="15.75">
      <c r="A11" s="103">
        <v>5</v>
      </c>
      <c r="B11" s="178" t="s">
        <v>409</v>
      </c>
      <c r="C11" s="103" t="s">
        <v>410</v>
      </c>
      <c r="D11" s="179">
        <v>429</v>
      </c>
      <c r="E11" s="179">
        <v>48597</v>
      </c>
      <c r="F11" s="179">
        <v>54550</v>
      </c>
      <c r="G11" s="181">
        <v>39793</v>
      </c>
      <c r="H11" s="181">
        <v>50000</v>
      </c>
      <c r="I11" s="181">
        <v>46902.65</v>
      </c>
      <c r="J11" s="181">
        <v>48000</v>
      </c>
      <c r="K11" s="181">
        <v>38291.81</v>
      </c>
      <c r="L11" s="181">
        <v>48500</v>
      </c>
      <c r="M11" s="181">
        <v>40453.19</v>
      </c>
      <c r="N11" s="181">
        <v>48500</v>
      </c>
      <c r="O11" s="181">
        <v>42613.48</v>
      </c>
      <c r="P11" s="182">
        <v>48500</v>
      </c>
      <c r="Q11" s="181">
        <v>36162</v>
      </c>
      <c r="R11" s="182">
        <v>48500</v>
      </c>
      <c r="S11" s="182">
        <v>35503</v>
      </c>
      <c r="T11" s="182">
        <v>48500</v>
      </c>
      <c r="U11" s="181">
        <v>37030</v>
      </c>
      <c r="V11" s="182">
        <v>48500</v>
      </c>
      <c r="W11" s="181">
        <v>36809</v>
      </c>
      <c r="X11" s="183">
        <v>48500</v>
      </c>
      <c r="Y11" s="183">
        <v>30852</v>
      </c>
      <c r="Z11" s="295">
        <v>107000</v>
      </c>
      <c r="AA11" s="291">
        <v>88771</v>
      </c>
      <c r="AB11" s="295">
        <v>107</v>
      </c>
      <c r="AC11" s="291">
        <v>95451</v>
      </c>
    </row>
    <row r="12" spans="1:29" s="13" customFormat="1" ht="15.75">
      <c r="A12" s="153"/>
      <c r="B12" s="160" t="s">
        <v>411</v>
      </c>
      <c r="C12" s="153"/>
      <c r="D12" s="186"/>
      <c r="E12" s="186"/>
      <c r="F12" s="186"/>
      <c r="G12" s="176"/>
      <c r="H12" s="176"/>
      <c r="I12" s="176"/>
      <c r="J12" s="176"/>
      <c r="K12" s="176"/>
      <c r="L12" s="176"/>
      <c r="M12" s="176"/>
      <c r="N12" s="176"/>
      <c r="O12" s="176"/>
      <c r="P12" s="177"/>
      <c r="Q12" s="176"/>
      <c r="R12" s="177"/>
      <c r="S12" s="177"/>
      <c r="T12" s="174"/>
      <c r="U12" s="174"/>
      <c r="V12" s="174"/>
      <c r="W12" s="174"/>
      <c r="X12" s="174"/>
      <c r="Y12" s="174"/>
      <c r="Z12" s="290"/>
      <c r="AA12" s="290"/>
      <c r="AB12" s="290"/>
      <c r="AC12" s="290"/>
    </row>
    <row r="13" spans="1:29" s="13" customFormat="1" ht="15.75">
      <c r="A13" s="103">
        <v>1</v>
      </c>
      <c r="B13" s="178" t="s">
        <v>403</v>
      </c>
      <c r="C13" s="103" t="s">
        <v>412</v>
      </c>
      <c r="D13" s="179">
        <f>(10.89+9.45+9.22)/3</f>
        <v>9.853333333333333</v>
      </c>
      <c r="E13" s="179">
        <f>(10.4+18.81+15.94)/3</f>
        <v>15.049999999999999</v>
      </c>
      <c r="F13" s="179">
        <v>13.74</v>
      </c>
      <c r="G13" s="180">
        <f>2648.66/G7</f>
        <v>17.673049976646425</v>
      </c>
      <c r="H13" s="180">
        <f>(14.08+(17.91+18.45/2))/2</f>
        <v>20.607499999999998</v>
      </c>
      <c r="I13" s="181">
        <f>5412.53/I7</f>
        <v>15.562638373731273</v>
      </c>
      <c r="J13" s="180">
        <v>20.65</v>
      </c>
      <c r="K13" s="181">
        <f>2983.66/K7</f>
        <v>19.488308295231874</v>
      </c>
      <c r="L13" s="180">
        <v>20.65</v>
      </c>
      <c r="M13" s="181">
        <f>5391.38/M7</f>
        <v>24.29643983776476</v>
      </c>
      <c r="N13" s="180">
        <v>24.3</v>
      </c>
      <c r="O13" s="180">
        <v>29.97</v>
      </c>
      <c r="P13" s="183">
        <v>29.97</v>
      </c>
      <c r="Q13" s="181">
        <v>32.58</v>
      </c>
      <c r="R13" s="183">
        <v>32.58</v>
      </c>
      <c r="S13" s="182">
        <v>35.01</v>
      </c>
      <c r="T13" s="181">
        <v>35.01</v>
      </c>
      <c r="U13" s="181">
        <v>32.85</v>
      </c>
      <c r="V13" s="181">
        <v>35.01</v>
      </c>
      <c r="W13" s="181">
        <f>6324.58/192.06</f>
        <v>32.9302301364157</v>
      </c>
      <c r="X13" s="181">
        <v>35.01</v>
      </c>
      <c r="Y13" s="180">
        <f>5746.88/204.93</f>
        <v>28.043136680817838</v>
      </c>
      <c r="Z13" s="181">
        <v>40</v>
      </c>
      <c r="AA13" s="180">
        <v>33.92</v>
      </c>
      <c r="AB13" s="180">
        <v>45</v>
      </c>
      <c r="AC13" s="180">
        <v>38.3</v>
      </c>
    </row>
    <row r="14" spans="1:29" s="13" customFormat="1" ht="15.75">
      <c r="A14" s="103">
        <v>2</v>
      </c>
      <c r="B14" s="178" t="s">
        <v>405</v>
      </c>
      <c r="C14" s="103" t="s">
        <v>412</v>
      </c>
      <c r="D14" s="179">
        <f>(10.28+7.64+8.71)/3</f>
        <v>8.876666666666667</v>
      </c>
      <c r="E14" s="179">
        <f>(8.11+12.24+10.37)/3</f>
        <v>10.24</v>
      </c>
      <c r="F14" s="179">
        <v>10.27</v>
      </c>
      <c r="G14" s="180">
        <f>1799.9/G8</f>
        <v>12.009741776206045</v>
      </c>
      <c r="H14" s="181">
        <f>(10.82+(11.48+12.16)/2)/2</f>
        <v>11.32</v>
      </c>
      <c r="I14" s="181">
        <f>3894.17/I8</f>
        <v>11.196900428419449</v>
      </c>
      <c r="J14" s="180">
        <v>12.3</v>
      </c>
      <c r="K14" s="181">
        <f>1861.25/K8</f>
        <v>12.157086871325932</v>
      </c>
      <c r="L14" s="180">
        <v>12.3</v>
      </c>
      <c r="M14" s="181">
        <f>3451.67/M8</f>
        <v>18.50364533076016</v>
      </c>
      <c r="N14" s="180">
        <v>18.5</v>
      </c>
      <c r="O14" s="180">
        <v>23.69</v>
      </c>
      <c r="P14" s="183">
        <v>23.69</v>
      </c>
      <c r="Q14" s="181">
        <v>26.1</v>
      </c>
      <c r="R14" s="183">
        <v>26.1</v>
      </c>
      <c r="S14" s="182">
        <v>28.55</v>
      </c>
      <c r="T14" s="181">
        <v>28.55</v>
      </c>
      <c r="U14" s="181">
        <v>21.41</v>
      </c>
      <c r="V14" s="181">
        <v>28.55</v>
      </c>
      <c r="W14" s="181">
        <f>5139.39/192.06</f>
        <v>26.75929397063418</v>
      </c>
      <c r="X14" s="181">
        <v>28.55</v>
      </c>
      <c r="Y14" s="180">
        <f>5660.1/204.93</f>
        <v>27.61967501097936</v>
      </c>
      <c r="Z14" s="181">
        <v>28.55</v>
      </c>
      <c r="AA14" s="180">
        <v>26.03</v>
      </c>
      <c r="AB14" s="180">
        <v>31.9</v>
      </c>
      <c r="AC14" s="180">
        <v>30.99</v>
      </c>
    </row>
    <row r="15" spans="1:29" s="13" customFormat="1" ht="15.75">
      <c r="A15" s="103">
        <v>3</v>
      </c>
      <c r="B15" s="178" t="s">
        <v>406</v>
      </c>
      <c r="C15" s="103" t="s">
        <v>412</v>
      </c>
      <c r="D15" s="179">
        <v>0</v>
      </c>
      <c r="E15" s="179">
        <v>0</v>
      </c>
      <c r="F15" s="179">
        <v>0</v>
      </c>
      <c r="G15" s="181">
        <v>0</v>
      </c>
      <c r="H15" s="181">
        <f>(+(2627.695+3024.482)/2+(1992.49+2293.35)/2+2926.164)/3</f>
        <v>2631.724166666667</v>
      </c>
      <c r="I15" s="181">
        <f>8109.07/I9</f>
        <v>2805.9065743944634</v>
      </c>
      <c r="J15" s="180">
        <v>2725.27</v>
      </c>
      <c r="K15" s="180">
        <v>2813.91</v>
      </c>
      <c r="L15" s="180">
        <v>2725.27</v>
      </c>
      <c r="M15" s="180">
        <f>4907.58/M9</f>
        <v>3456.042253521127</v>
      </c>
      <c r="N15" s="180">
        <v>4488.41</v>
      </c>
      <c r="O15" s="180">
        <v>4745.49</v>
      </c>
      <c r="P15" s="183">
        <v>4745.49</v>
      </c>
      <c r="Q15" s="181">
        <v>4500.21</v>
      </c>
      <c r="R15" s="183">
        <v>4500.21</v>
      </c>
      <c r="S15" s="182">
        <v>4271.77</v>
      </c>
      <c r="T15" s="181">
        <v>4271.77</v>
      </c>
      <c r="U15" s="181">
        <v>4486.12</v>
      </c>
      <c r="V15" s="181">
        <v>4486.12</v>
      </c>
      <c r="W15" s="181">
        <f>8672.92/2.2128</f>
        <v>3919.4323933477945</v>
      </c>
      <c r="X15" s="181">
        <v>4486.12</v>
      </c>
      <c r="Y15" s="180">
        <f>8027.41/1.932467</f>
        <v>4153.970028983677</v>
      </c>
      <c r="Z15" s="181">
        <v>4800</v>
      </c>
      <c r="AA15" s="180">
        <v>4524.62</v>
      </c>
      <c r="AB15" s="180">
        <v>4900</v>
      </c>
      <c r="AC15" s="180">
        <v>3941.61</v>
      </c>
    </row>
    <row r="16" spans="1:29" s="13" customFormat="1" ht="15.75">
      <c r="A16" s="103">
        <v>4</v>
      </c>
      <c r="B16" s="178" t="s">
        <v>408</v>
      </c>
      <c r="C16" s="103" t="s">
        <v>412</v>
      </c>
      <c r="D16" s="179">
        <v>1826.87</v>
      </c>
      <c r="E16" s="179">
        <v>2016.97</v>
      </c>
      <c r="F16" s="179">
        <v>2229.62</v>
      </c>
      <c r="G16" s="181">
        <f>404834.02/G10</f>
        <v>2352.4552269161486</v>
      </c>
      <c r="H16" s="181">
        <f>(+(2627.695+3024.482)/2+(2381.49+2741.09)/2+(1992.49+2293.35)/2+2926.164)/4</f>
        <v>2614.115625</v>
      </c>
      <c r="I16" s="181">
        <f>345502.32/I10</f>
        <v>2688.5247840634975</v>
      </c>
      <c r="J16" s="180">
        <v>2725.27</v>
      </c>
      <c r="K16" s="181">
        <f>373220.31/K10</f>
        <v>2897.8532051680227</v>
      </c>
      <c r="L16" s="180">
        <v>2725.27</v>
      </c>
      <c r="M16" s="181">
        <f>335736.93/M10</f>
        <v>3175.4178568050693</v>
      </c>
      <c r="N16" s="180">
        <v>4488.41</v>
      </c>
      <c r="O16" s="180">
        <v>4487.55</v>
      </c>
      <c r="P16" s="183">
        <v>4487.55</v>
      </c>
      <c r="Q16" s="181">
        <v>4500.21</v>
      </c>
      <c r="R16" s="183">
        <v>4500.21</v>
      </c>
      <c r="S16" s="182">
        <v>4500.21</v>
      </c>
      <c r="T16" s="181">
        <v>4500.21</v>
      </c>
      <c r="U16" s="181">
        <v>4891.65</v>
      </c>
      <c r="V16" s="181">
        <v>4891.65</v>
      </c>
      <c r="W16" s="181">
        <f>561859.6/122.143158</f>
        <v>4600.0087864111065</v>
      </c>
      <c r="X16" s="181">
        <v>4891.65</v>
      </c>
      <c r="Y16" s="180">
        <f>524854.95/111.066</f>
        <v>4725.613148938469</v>
      </c>
      <c r="Z16" s="181">
        <v>4800</v>
      </c>
      <c r="AA16" s="180">
        <v>4587.83</v>
      </c>
      <c r="AB16" s="180">
        <v>4900</v>
      </c>
      <c r="AC16" s="180">
        <v>3941.61</v>
      </c>
    </row>
    <row r="17" spans="1:29" s="13" customFormat="1" ht="15.75">
      <c r="A17" s="103">
        <v>5</v>
      </c>
      <c r="B17" s="178" t="s">
        <v>409</v>
      </c>
      <c r="C17" s="103" t="s">
        <v>412</v>
      </c>
      <c r="D17" s="179">
        <v>3.11</v>
      </c>
      <c r="E17" s="179">
        <v>4.29</v>
      </c>
      <c r="F17" s="179">
        <v>4.4</v>
      </c>
      <c r="G17" s="181">
        <f>162741.38/G11</f>
        <v>4.089698690724499</v>
      </c>
      <c r="H17" s="181">
        <f>(3.64+3.53+3.35)/3</f>
        <v>3.5066666666666664</v>
      </c>
      <c r="I17" s="181">
        <f>202878.73/I11</f>
        <v>4.325528088498198</v>
      </c>
      <c r="J17" s="180">
        <v>4.83</v>
      </c>
      <c r="K17" s="181">
        <f>160789.66/K11</f>
        <v>4.199061365863876</v>
      </c>
      <c r="L17" s="180">
        <v>4.83</v>
      </c>
      <c r="M17" s="181">
        <f>190759/M11</f>
        <v>4.7155490086195915</v>
      </c>
      <c r="N17" s="180">
        <v>5.01</v>
      </c>
      <c r="O17" s="180">
        <v>5.07</v>
      </c>
      <c r="P17" s="183">
        <v>5.07</v>
      </c>
      <c r="Q17" s="181">
        <v>5.14</v>
      </c>
      <c r="R17" s="183">
        <v>5.14</v>
      </c>
      <c r="S17" s="182">
        <v>5.33</v>
      </c>
      <c r="T17" s="181">
        <v>5.33</v>
      </c>
      <c r="U17" s="181">
        <v>5.92</v>
      </c>
      <c r="V17" s="181">
        <v>5.92</v>
      </c>
      <c r="W17" s="181">
        <f>224635.26/36809</f>
        <v>6.102726507104241</v>
      </c>
      <c r="X17" s="181">
        <v>6.1</v>
      </c>
      <c r="Y17" s="180">
        <f>198403.18/30852</f>
        <v>6.430804485932841</v>
      </c>
      <c r="Z17" s="181">
        <v>7</v>
      </c>
      <c r="AA17" s="180">
        <v>6.57</v>
      </c>
      <c r="AB17" s="180">
        <v>7.3</v>
      </c>
      <c r="AC17" s="180">
        <v>7.44</v>
      </c>
    </row>
    <row r="18" ht="12.75">
      <c r="AA18" s="300"/>
    </row>
    <row r="20" spans="9:16" ht="12.75">
      <c r="I20" s="187"/>
      <c r="J20" s="187"/>
      <c r="K20" s="187"/>
      <c r="L20" s="187"/>
      <c r="M20" s="187"/>
      <c r="N20" s="187"/>
      <c r="O20" s="187"/>
      <c r="P20" s="187"/>
    </row>
    <row r="21" spans="9:16" ht="12.75">
      <c r="I21" s="187"/>
      <c r="J21" s="187"/>
      <c r="K21" s="187"/>
      <c r="L21" s="187"/>
      <c r="M21" s="187"/>
      <c r="N21" s="187"/>
      <c r="O21" s="187"/>
      <c r="P21" s="187"/>
    </row>
    <row r="22" spans="9:16" ht="12.75">
      <c r="I22" s="187"/>
      <c r="J22" s="187"/>
      <c r="K22" s="187"/>
      <c r="L22" s="187"/>
      <c r="M22" s="187"/>
      <c r="N22" s="187"/>
      <c r="O22" s="187"/>
      <c r="P22" s="187"/>
    </row>
    <row r="23" spans="11:16" ht="12.75">
      <c r="K23" s="187"/>
      <c r="M23" s="187"/>
      <c r="P23" s="187"/>
    </row>
    <row r="25" spans="9:16" ht="12.75">
      <c r="I25" s="187"/>
      <c r="J25" s="187"/>
      <c r="K25" s="187"/>
      <c r="L25" s="187"/>
      <c r="M25" s="187"/>
      <c r="N25" s="187"/>
      <c r="O25" s="187"/>
      <c r="P25" s="187"/>
    </row>
    <row r="26" spans="10:15" ht="12.75">
      <c r="J26" s="187"/>
      <c r="L26" s="187"/>
      <c r="N26" s="187"/>
      <c r="O26" s="187"/>
    </row>
    <row r="28" spans="11:16" ht="12.75">
      <c r="K28" s="187"/>
      <c r="M28" s="187"/>
      <c r="P28" s="187"/>
    </row>
    <row r="29" spans="11:16" ht="12.75">
      <c r="K29" s="187"/>
      <c r="M29" s="187"/>
      <c r="P29" s="187"/>
    </row>
  </sheetData>
  <sheetProtection selectLockedCells="1" selectUnlockedCells="1"/>
  <mergeCells count="14">
    <mergeCell ref="N9:N10"/>
    <mergeCell ref="P9:P10"/>
    <mergeCell ref="A1:D1"/>
    <mergeCell ref="A2:F2"/>
    <mergeCell ref="A3:D3"/>
    <mergeCell ref="H9:H10"/>
    <mergeCell ref="J9:J10"/>
    <mergeCell ref="L9:L10"/>
    <mergeCell ref="R9:R10"/>
    <mergeCell ref="T9:T10"/>
    <mergeCell ref="V9:V10"/>
    <mergeCell ref="X9:X10"/>
    <mergeCell ref="AB9:AB10"/>
    <mergeCell ref="Z9:Z10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zoomScalePageLayoutView="0" workbookViewId="0" topLeftCell="A1">
      <pane xSplit="3" ySplit="5" topLeftCell="K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5" sqref="Q5"/>
    </sheetView>
  </sheetViews>
  <sheetFormatPr defaultColWidth="9.375" defaultRowHeight="12.75"/>
  <cols>
    <col min="1" max="1" width="6.625" style="124" customWidth="1"/>
    <col min="2" max="2" width="42.625" style="124" customWidth="1"/>
    <col min="3" max="3" width="17.625" style="124" customWidth="1"/>
    <col min="4" max="8" width="10.625" style="124" customWidth="1"/>
    <col min="9" max="9" width="12.375" style="124" customWidth="1"/>
    <col min="10" max="10" width="11.625" style="124" customWidth="1"/>
    <col min="11" max="11" width="13.375" style="124" customWidth="1"/>
    <col min="12" max="12" width="12.75390625" style="124" customWidth="1"/>
    <col min="13" max="13" width="12.25390625" style="124" customWidth="1"/>
    <col min="14" max="15" width="16.375" style="124" customWidth="1"/>
    <col min="16" max="17" width="13.875" style="400" customWidth="1"/>
    <col min="18" max="18" width="11.75390625" style="124" bestFit="1" customWidth="1"/>
    <col min="19" max="16384" width="9.375" style="124" customWidth="1"/>
  </cols>
  <sheetData>
    <row r="1" spans="1:4" ht="15.75">
      <c r="A1" s="419" t="s">
        <v>413</v>
      </c>
      <c r="B1" s="419"/>
      <c r="C1" s="419"/>
      <c r="D1" s="419"/>
    </row>
    <row r="2" spans="1:5" ht="15.75">
      <c r="A2" s="454" t="s">
        <v>23</v>
      </c>
      <c r="B2" s="454"/>
      <c r="C2" s="454"/>
      <c r="D2" s="454"/>
      <c r="E2" s="454"/>
    </row>
    <row r="3" spans="1:4" ht="12.75">
      <c r="A3" s="455" t="s">
        <v>24</v>
      </c>
      <c r="B3" s="455"/>
      <c r="C3" s="455"/>
      <c r="D3" s="455"/>
    </row>
    <row r="4" spans="1:4" ht="15.75">
      <c r="A4" s="72"/>
      <c r="B4" s="72"/>
      <c r="C4" s="72"/>
      <c r="D4" s="72"/>
    </row>
    <row r="5" spans="1:17" ht="14.25" customHeight="1">
      <c r="A5" s="101" t="s">
        <v>199</v>
      </c>
      <c r="B5" s="101" t="s">
        <v>200</v>
      </c>
      <c r="C5" s="101" t="s">
        <v>275</v>
      </c>
      <c r="D5" s="79" t="s">
        <v>414</v>
      </c>
      <c r="E5" s="79" t="s">
        <v>415</v>
      </c>
      <c r="F5" s="79" t="s">
        <v>416</v>
      </c>
      <c r="G5" s="79" t="s">
        <v>417</v>
      </c>
      <c r="H5" s="79" t="s">
        <v>418</v>
      </c>
      <c r="I5" s="79" t="s">
        <v>419</v>
      </c>
      <c r="J5" s="188" t="s">
        <v>420</v>
      </c>
      <c r="K5" s="79" t="s">
        <v>421</v>
      </c>
      <c r="L5" s="188" t="s">
        <v>422</v>
      </c>
      <c r="M5" s="188" t="s">
        <v>423</v>
      </c>
      <c r="N5" s="79" t="s">
        <v>424</v>
      </c>
      <c r="O5" s="188" t="s">
        <v>584</v>
      </c>
      <c r="P5" s="403" t="s">
        <v>648</v>
      </c>
      <c r="Q5" s="403" t="s">
        <v>649</v>
      </c>
    </row>
    <row r="6" spans="1:18" ht="15.75">
      <c r="A6" s="114">
        <v>1</v>
      </c>
      <c r="B6" s="155" t="s">
        <v>425</v>
      </c>
      <c r="C6" s="114" t="s">
        <v>426</v>
      </c>
      <c r="D6" s="189">
        <f>4578958.58/1000</f>
        <v>4578.95858</v>
      </c>
      <c r="E6" s="189">
        <f>4578958.58/1000</f>
        <v>4578.95858</v>
      </c>
      <c r="F6" s="189">
        <f>4578958.58/1000</f>
        <v>4578.95858</v>
      </c>
      <c r="G6" s="189">
        <f>4578958.58/1000</f>
        <v>4578.95858</v>
      </c>
      <c r="H6" s="189">
        <f>4578958.58/1000</f>
        <v>4578.95858</v>
      </c>
      <c r="I6" s="189">
        <f>(4578958.58+1638680.74)/1000</f>
        <v>6217.63932</v>
      </c>
      <c r="J6" s="190">
        <f>(4578958.58+1638680.74)/1000</f>
        <v>6217.63932</v>
      </c>
      <c r="K6" s="191">
        <v>6217.64</v>
      </c>
      <c r="L6" s="192">
        <v>7879.536</v>
      </c>
      <c r="M6" s="193">
        <v>7879.54</v>
      </c>
      <c r="N6" s="193">
        <f>7879536.72/1000</f>
        <v>7879.53672</v>
      </c>
      <c r="O6" s="193">
        <f>7879536.72/1000</f>
        <v>7879.53672</v>
      </c>
      <c r="P6" s="404">
        <f>7879536.72/1000</f>
        <v>7879.53672</v>
      </c>
      <c r="Q6" s="404">
        <f>7879536.72/1000</f>
        <v>7879.53672</v>
      </c>
      <c r="R6" s="204"/>
    </row>
    <row r="7" spans="1:17" ht="15.75">
      <c r="A7" s="114">
        <v>2</v>
      </c>
      <c r="B7" s="155" t="s">
        <v>427</v>
      </c>
      <c r="C7" s="114" t="s">
        <v>428</v>
      </c>
      <c r="D7" s="60">
        <v>34.7</v>
      </c>
      <c r="E7" s="60">
        <v>35.5</v>
      </c>
      <c r="F7" s="60">
        <v>36.3</v>
      </c>
      <c r="G7" s="60">
        <v>37.1</v>
      </c>
      <c r="H7" s="60">
        <v>37.9</v>
      </c>
      <c r="I7" s="60">
        <v>34.98</v>
      </c>
      <c r="J7" s="194">
        <v>35.77</v>
      </c>
      <c r="K7" s="191">
        <v>36.48</v>
      </c>
      <c r="L7" s="192">
        <f>(3979682.59/7879536.72)*100</f>
        <v>50.50655554277308</v>
      </c>
      <c r="M7" s="195">
        <f>(4027796.47/7879536.72)*100</f>
        <v>51.1171736756625</v>
      </c>
      <c r="N7" s="195">
        <f>(4080573.79/7879536.72)*100</f>
        <v>51.786975998761505</v>
      </c>
      <c r="O7" s="195">
        <f>(4128614.83/7879536.72)*100</f>
        <v>52.39666971182032</v>
      </c>
      <c r="P7" s="405">
        <f>(4176655.87/7879536.72)*100</f>
        <v>53.00636342487912</v>
      </c>
      <c r="Q7" s="405">
        <f>(4224696.91/7879536.72)*100</f>
        <v>53.616057137937936</v>
      </c>
    </row>
    <row r="8" spans="1:17" ht="15.75">
      <c r="A8" s="114">
        <v>3</v>
      </c>
      <c r="B8" s="155" t="s">
        <v>429</v>
      </c>
      <c r="C8" s="114" t="s">
        <v>426</v>
      </c>
      <c r="D8" s="60" t="s">
        <v>63</v>
      </c>
      <c r="E8" s="60" t="s">
        <v>63</v>
      </c>
      <c r="F8" s="60" t="s">
        <v>63</v>
      </c>
      <c r="G8" s="60" t="s">
        <v>63</v>
      </c>
      <c r="H8" s="60" t="s">
        <v>63</v>
      </c>
      <c r="I8" s="60" t="s">
        <v>63</v>
      </c>
      <c r="J8" s="194" t="s">
        <v>63</v>
      </c>
      <c r="K8" s="191" t="s">
        <v>63</v>
      </c>
      <c r="L8" s="192" t="s">
        <v>63</v>
      </c>
      <c r="M8" s="195" t="s">
        <v>63</v>
      </c>
      <c r="N8" s="195" t="s">
        <v>63</v>
      </c>
      <c r="O8" s="195" t="s">
        <v>63</v>
      </c>
      <c r="P8" s="405" t="s">
        <v>63</v>
      </c>
      <c r="Q8" s="405" t="s">
        <v>63</v>
      </c>
    </row>
    <row r="9" spans="1:17" ht="15.75">
      <c r="A9" s="114">
        <v>4</v>
      </c>
      <c r="B9" s="155" t="s">
        <v>430</v>
      </c>
      <c r="C9" s="114"/>
      <c r="D9" s="60"/>
      <c r="E9" s="60"/>
      <c r="F9" s="60"/>
      <c r="G9" s="60"/>
      <c r="H9" s="60"/>
      <c r="I9" s="60"/>
      <c r="J9" s="194"/>
      <c r="K9" s="191"/>
      <c r="L9" s="192"/>
      <c r="M9" s="195"/>
      <c r="N9" s="195"/>
      <c r="O9" s="195"/>
      <c r="P9" s="405"/>
      <c r="Q9" s="405"/>
    </row>
    <row r="10" spans="1:17" ht="15.75">
      <c r="A10" s="114" t="s">
        <v>262</v>
      </c>
      <c r="B10" s="155" t="s">
        <v>339</v>
      </c>
      <c r="C10" s="114" t="s">
        <v>279</v>
      </c>
      <c r="D10" s="60" t="s">
        <v>63</v>
      </c>
      <c r="E10" s="60" t="s">
        <v>63</v>
      </c>
      <c r="F10" s="60" t="s">
        <v>63</v>
      </c>
      <c r="G10" s="60" t="s">
        <v>63</v>
      </c>
      <c r="H10" s="60" t="s">
        <v>63</v>
      </c>
      <c r="I10" s="60" t="s">
        <v>63</v>
      </c>
      <c r="J10" s="194" t="s">
        <v>63</v>
      </c>
      <c r="K10" s="191" t="s">
        <v>63</v>
      </c>
      <c r="L10" s="192" t="s">
        <v>63</v>
      </c>
      <c r="M10" s="195" t="s">
        <v>63</v>
      </c>
      <c r="N10" s="195" t="s">
        <v>63</v>
      </c>
      <c r="O10" s="195" t="s">
        <v>63</v>
      </c>
      <c r="P10" s="405" t="s">
        <v>63</v>
      </c>
      <c r="Q10" s="405" t="s">
        <v>63</v>
      </c>
    </row>
    <row r="11" spans="1:17" ht="15.75">
      <c r="A11" s="114" t="s">
        <v>431</v>
      </c>
      <c r="B11" s="155" t="s">
        <v>432</v>
      </c>
      <c r="C11" s="114" t="s">
        <v>279</v>
      </c>
      <c r="D11" s="60" t="s">
        <v>63</v>
      </c>
      <c r="E11" s="60" t="s">
        <v>63</v>
      </c>
      <c r="F11" s="60" t="s">
        <v>63</v>
      </c>
      <c r="G11" s="60" t="s">
        <v>63</v>
      </c>
      <c r="H11" s="60" t="s">
        <v>63</v>
      </c>
      <c r="I11" s="60" t="s">
        <v>63</v>
      </c>
      <c r="J11" s="194" t="s">
        <v>63</v>
      </c>
      <c r="K11" s="191" t="s">
        <v>63</v>
      </c>
      <c r="L11" s="192" t="s">
        <v>63</v>
      </c>
      <c r="M11" s="195" t="s">
        <v>63</v>
      </c>
      <c r="N11" s="195" t="s">
        <v>63</v>
      </c>
      <c r="O11" s="195" t="s">
        <v>63</v>
      </c>
      <c r="P11" s="405" t="s">
        <v>63</v>
      </c>
      <c r="Q11" s="405" t="s">
        <v>63</v>
      </c>
    </row>
    <row r="12" spans="1:17" ht="15.75">
      <c r="A12" s="114" t="s">
        <v>433</v>
      </c>
      <c r="B12" s="155" t="s">
        <v>434</v>
      </c>
      <c r="C12" s="114" t="s">
        <v>279</v>
      </c>
      <c r="D12" s="60" t="s">
        <v>63</v>
      </c>
      <c r="E12" s="60" t="s">
        <v>63</v>
      </c>
      <c r="F12" s="60" t="s">
        <v>63</v>
      </c>
      <c r="G12" s="60" t="s">
        <v>63</v>
      </c>
      <c r="H12" s="60" t="s">
        <v>63</v>
      </c>
      <c r="I12" s="60" t="s">
        <v>63</v>
      </c>
      <c r="J12" s="194" t="s">
        <v>63</v>
      </c>
      <c r="K12" s="191" t="s">
        <v>63</v>
      </c>
      <c r="L12" s="192" t="s">
        <v>63</v>
      </c>
      <c r="M12" s="195" t="s">
        <v>63</v>
      </c>
      <c r="N12" s="195" t="s">
        <v>63</v>
      </c>
      <c r="O12" s="195" t="s">
        <v>63</v>
      </c>
      <c r="P12" s="405" t="s">
        <v>63</v>
      </c>
      <c r="Q12" s="405" t="s">
        <v>63</v>
      </c>
    </row>
    <row r="13" spans="1:18" ht="15.75">
      <c r="A13" s="114">
        <v>5</v>
      </c>
      <c r="B13" s="155" t="s">
        <v>435</v>
      </c>
      <c r="C13" s="114" t="s">
        <v>426</v>
      </c>
      <c r="D13" s="189">
        <v>7987.5</v>
      </c>
      <c r="E13" s="189">
        <v>8350.7</v>
      </c>
      <c r="F13" s="189">
        <v>8480.5</v>
      </c>
      <c r="G13" s="189">
        <v>8480.5</v>
      </c>
      <c r="H13" s="189">
        <v>7811.77</v>
      </c>
      <c r="I13" s="189">
        <f>10551183.9/1000</f>
        <v>10551.1839</v>
      </c>
      <c r="J13" s="190">
        <v>11039.27</v>
      </c>
      <c r="K13" s="189">
        <v>11395.82</v>
      </c>
      <c r="L13" s="190">
        <v>13877.54</v>
      </c>
      <c r="M13" s="196">
        <f>13783360.1/1000</f>
        <v>13783.3601</v>
      </c>
      <c r="N13" s="196">
        <v>13684.43</v>
      </c>
      <c r="O13" s="196">
        <f>14099346.94/1000</f>
        <v>14099.34694</v>
      </c>
      <c r="P13" s="406">
        <f>14667541.61/1000</f>
        <v>14667.54161</v>
      </c>
      <c r="Q13" s="406">
        <f>15464618.06/1000</f>
        <v>15464.61806</v>
      </c>
      <c r="R13" s="204"/>
    </row>
    <row r="14" spans="1:17" ht="15.75">
      <c r="A14" s="114">
        <v>6</v>
      </c>
      <c r="B14" s="155" t="s">
        <v>436</v>
      </c>
      <c r="C14" s="114" t="s">
        <v>428</v>
      </c>
      <c r="D14" s="197">
        <v>57.85</v>
      </c>
      <c r="E14" s="197">
        <v>59.72</v>
      </c>
      <c r="F14" s="197">
        <v>63.02</v>
      </c>
      <c r="G14" s="197">
        <v>64.7</v>
      </c>
      <c r="H14" s="197">
        <f>100-((H22/H13)*100)</f>
        <v>63.28194506494687</v>
      </c>
      <c r="I14" s="197">
        <f>100-((I22/I13)*100)</f>
        <v>57.7831946422619</v>
      </c>
      <c r="J14" s="198">
        <v>59.5</v>
      </c>
      <c r="K14" s="199">
        <v>61.81</v>
      </c>
      <c r="L14" s="200">
        <f>(9149.915/13877.539)*100</f>
        <v>65.93326813925727</v>
      </c>
      <c r="M14" s="201">
        <f>(9348167.66/13783360.1)*100</f>
        <v>67.82212459210146</v>
      </c>
      <c r="N14" s="201">
        <f>+(9519688.51/13684427.97)*100</f>
        <v>69.56584908678502</v>
      </c>
      <c r="O14" s="201">
        <f>+(9989540.32/14099346.94)*100</f>
        <v>70.85108524891722</v>
      </c>
      <c r="P14" s="407">
        <f>+(10749418.55/14667541.61)*100</f>
        <v>73.28711815394674</v>
      </c>
      <c r="Q14" s="407">
        <f>+(11429256.25/15464618.06)*100</f>
        <v>73.90584239233387</v>
      </c>
    </row>
    <row r="15" spans="1:17" ht="15.75">
      <c r="A15" s="114" t="s">
        <v>437</v>
      </c>
      <c r="B15" s="155" t="s">
        <v>438</v>
      </c>
      <c r="C15" s="114" t="s">
        <v>428</v>
      </c>
      <c r="D15" s="197" t="s">
        <v>63</v>
      </c>
      <c r="E15" s="197" t="s">
        <v>63</v>
      </c>
      <c r="F15" s="197" t="s">
        <v>63</v>
      </c>
      <c r="G15" s="197" t="s">
        <v>63</v>
      </c>
      <c r="H15" s="197" t="s">
        <v>63</v>
      </c>
      <c r="I15" s="197" t="s">
        <v>63</v>
      </c>
      <c r="J15" s="198" t="s">
        <v>63</v>
      </c>
      <c r="K15" s="191" t="s">
        <v>63</v>
      </c>
      <c r="L15" s="192" t="s">
        <v>63</v>
      </c>
      <c r="M15" s="195" t="s">
        <v>63</v>
      </c>
      <c r="N15" s="195" t="s">
        <v>63</v>
      </c>
      <c r="O15" s="195" t="s">
        <v>63</v>
      </c>
      <c r="P15" s="405" t="s">
        <v>63</v>
      </c>
      <c r="Q15" s="405" t="s">
        <v>63</v>
      </c>
    </row>
    <row r="16" spans="1:17" ht="15.75">
      <c r="A16" s="114" t="s">
        <v>439</v>
      </c>
      <c r="B16" s="155" t="s">
        <v>440</v>
      </c>
      <c r="C16" s="114" t="s">
        <v>428</v>
      </c>
      <c r="D16" s="197">
        <v>98.1</v>
      </c>
      <c r="E16" s="197">
        <v>98.2</v>
      </c>
      <c r="F16" s="197">
        <v>98.4</v>
      </c>
      <c r="G16" s="197">
        <v>98.5</v>
      </c>
      <c r="H16" s="197">
        <v>98.6</v>
      </c>
      <c r="I16" s="197">
        <v>95.95</v>
      </c>
      <c r="J16" s="198">
        <v>96.9</v>
      </c>
      <c r="K16" s="199">
        <v>99.27</v>
      </c>
      <c r="L16" s="200">
        <f>(1556769.99/1566889.63)*100</f>
        <v>99.35415744630336</v>
      </c>
      <c r="M16" s="201">
        <f>(1907337.14/1916535.18)*100</f>
        <v>99.52006933679141</v>
      </c>
      <c r="N16" s="201">
        <f>+(1546269.54/1554545.98)*100</f>
        <v>99.46759760685883</v>
      </c>
      <c r="O16" s="201">
        <f>+(1583491.14/1590845.98)*100</f>
        <v>99.53767743122435</v>
      </c>
      <c r="P16" s="407">
        <f>(1922936.75/1929369.99)*100</f>
        <v>99.66656265862206</v>
      </c>
      <c r="Q16" s="407">
        <f>(1951479.4/1956991.04)*100</f>
        <v>99.71836151074048</v>
      </c>
    </row>
    <row r="17" spans="1:17" ht="15.75">
      <c r="A17" s="114" t="s">
        <v>441</v>
      </c>
      <c r="B17" s="155" t="s">
        <v>442</v>
      </c>
      <c r="C17" s="114" t="s">
        <v>428</v>
      </c>
      <c r="D17" s="197" t="s">
        <v>63</v>
      </c>
      <c r="E17" s="197" t="s">
        <v>63</v>
      </c>
      <c r="F17" s="197" t="s">
        <v>63</v>
      </c>
      <c r="G17" s="197" t="s">
        <v>63</v>
      </c>
      <c r="H17" s="197" t="s">
        <v>63</v>
      </c>
      <c r="I17" s="197" t="s">
        <v>63</v>
      </c>
      <c r="J17" s="198" t="s">
        <v>63</v>
      </c>
      <c r="K17" s="191" t="s">
        <v>63</v>
      </c>
      <c r="L17" s="192" t="s">
        <v>63</v>
      </c>
      <c r="M17" s="195" t="s">
        <v>63</v>
      </c>
      <c r="N17" s="195" t="s">
        <v>63</v>
      </c>
      <c r="O17" s="195" t="s">
        <v>63</v>
      </c>
      <c r="P17" s="405" t="s">
        <v>63</v>
      </c>
      <c r="Q17" s="405" t="s">
        <v>63</v>
      </c>
    </row>
    <row r="18" spans="1:17" ht="15.75">
      <c r="A18" s="114" t="s">
        <v>443</v>
      </c>
      <c r="B18" s="155" t="s">
        <v>444</v>
      </c>
      <c r="C18" s="114" t="s">
        <v>428</v>
      </c>
      <c r="D18" s="197">
        <v>90.2</v>
      </c>
      <c r="E18" s="197">
        <v>86</v>
      </c>
      <c r="F18" s="197">
        <v>90.9</v>
      </c>
      <c r="G18" s="197">
        <v>95.5</v>
      </c>
      <c r="H18" s="197">
        <v>96.8</v>
      </c>
      <c r="I18" s="197">
        <v>99.28</v>
      </c>
      <c r="J18" s="198">
        <v>82.75</v>
      </c>
      <c r="K18" s="199">
        <v>87.75</v>
      </c>
      <c r="L18" s="200">
        <f>(3115962.71/3316113.55)*100</f>
        <v>93.96429473894223</v>
      </c>
      <c r="M18" s="201">
        <f>(3250534.1/3337288.2)*100</f>
        <v>97.40046124874681</v>
      </c>
      <c r="N18" s="201">
        <f>(3600345.27/3600345.27)*100</f>
        <v>100</v>
      </c>
      <c r="O18" s="201">
        <f>(3854934.48/3978964.24)*100</f>
        <v>96.88286316440984</v>
      </c>
      <c r="P18" s="407">
        <f>+(4097326.1/4208634.9)*100</f>
        <v>97.35522793863635</v>
      </c>
      <c r="Q18" s="407">
        <f>+(4208634.9/4978090.3)*100</f>
        <v>84.54316105917164</v>
      </c>
    </row>
    <row r="19" spans="1:17" ht="15.75">
      <c r="A19" s="114" t="s">
        <v>445</v>
      </c>
      <c r="B19" s="155" t="s">
        <v>438</v>
      </c>
      <c r="C19" s="114" t="s">
        <v>428</v>
      </c>
      <c r="D19" s="197" t="s">
        <v>63</v>
      </c>
      <c r="E19" s="197" t="s">
        <v>63</v>
      </c>
      <c r="F19" s="197" t="s">
        <v>63</v>
      </c>
      <c r="G19" s="197" t="s">
        <v>63</v>
      </c>
      <c r="H19" s="197" t="s">
        <v>63</v>
      </c>
      <c r="I19" s="197" t="s">
        <v>63</v>
      </c>
      <c r="J19" s="198" t="s">
        <v>63</v>
      </c>
      <c r="K19" s="191" t="s">
        <v>63</v>
      </c>
      <c r="L19" s="192" t="s">
        <v>63</v>
      </c>
      <c r="M19" s="195" t="s">
        <v>63</v>
      </c>
      <c r="N19" s="195" t="s">
        <v>63</v>
      </c>
      <c r="O19" s="195" t="s">
        <v>63</v>
      </c>
      <c r="P19" s="405" t="s">
        <v>63</v>
      </c>
      <c r="Q19" s="405" t="s">
        <v>63</v>
      </c>
    </row>
    <row r="20" spans="1:17" ht="15.75">
      <c r="A20" s="114" t="s">
        <v>446</v>
      </c>
      <c r="B20" s="155" t="s">
        <v>447</v>
      </c>
      <c r="C20" s="114" t="s">
        <v>428</v>
      </c>
      <c r="D20" s="197" t="s">
        <v>63</v>
      </c>
      <c r="E20" s="197" t="s">
        <v>63</v>
      </c>
      <c r="F20" s="197" t="s">
        <v>63</v>
      </c>
      <c r="G20" s="197" t="s">
        <v>63</v>
      </c>
      <c r="H20" s="197" t="s">
        <v>63</v>
      </c>
      <c r="I20" s="197" t="s">
        <v>63</v>
      </c>
      <c r="J20" s="198" t="s">
        <v>63</v>
      </c>
      <c r="K20" s="191" t="s">
        <v>63</v>
      </c>
      <c r="L20" s="192" t="s">
        <v>63</v>
      </c>
      <c r="M20" s="195" t="s">
        <v>63</v>
      </c>
      <c r="N20" s="195" t="s">
        <v>63</v>
      </c>
      <c r="O20" s="195" t="s">
        <v>63</v>
      </c>
      <c r="P20" s="405" t="s">
        <v>63</v>
      </c>
      <c r="Q20" s="405" t="s">
        <v>63</v>
      </c>
    </row>
    <row r="21" spans="1:17" ht="15.75">
      <c r="A21" s="114" t="s">
        <v>448</v>
      </c>
      <c r="B21" s="155" t="s">
        <v>449</v>
      </c>
      <c r="C21" s="114" t="s">
        <v>428</v>
      </c>
      <c r="D21" s="197">
        <v>72.7</v>
      </c>
      <c r="E21" s="197">
        <v>86.9</v>
      </c>
      <c r="F21" s="197">
        <v>100</v>
      </c>
      <c r="G21" s="197">
        <v>100</v>
      </c>
      <c r="H21" s="197">
        <v>100</v>
      </c>
      <c r="I21" s="197">
        <v>100</v>
      </c>
      <c r="J21" s="198">
        <v>100</v>
      </c>
      <c r="K21" s="199">
        <v>100</v>
      </c>
      <c r="L21" s="200">
        <f>(497499.99/1115000)*100</f>
        <v>44.6188331838565</v>
      </c>
      <c r="M21" s="201">
        <f>(162499.95/650000)*100</f>
        <v>24.99999230769231</v>
      </c>
      <c r="N21" s="201">
        <f>+(292499.91/650000)*100</f>
        <v>44.99998615384615</v>
      </c>
      <c r="O21" s="201">
        <f>+(422499.87/650000)*100</f>
        <v>64.99998000000001</v>
      </c>
      <c r="P21" s="407">
        <f>(552499.83/650000)*100</f>
        <v>84.99997384615384</v>
      </c>
      <c r="Q21" s="407">
        <f>(650000/650000)*100</f>
        <v>100</v>
      </c>
    </row>
    <row r="22" spans="1:17" ht="15.75">
      <c r="A22" s="114">
        <v>7</v>
      </c>
      <c r="B22" s="155" t="s">
        <v>450</v>
      </c>
      <c r="C22" s="114" t="s">
        <v>426</v>
      </c>
      <c r="D22" s="202">
        <v>3366.6</v>
      </c>
      <c r="E22" s="202">
        <v>3363.41</v>
      </c>
      <c r="F22" s="202">
        <v>3135.89</v>
      </c>
      <c r="G22" s="202">
        <v>2994.15</v>
      </c>
      <c r="H22" s="202">
        <v>2868.33</v>
      </c>
      <c r="I22" s="202">
        <f>4454372.77/1000</f>
        <v>4454.37277</v>
      </c>
      <c r="J22" s="203">
        <v>4559.35</v>
      </c>
      <c r="K22" s="191">
        <v>4352.38</v>
      </c>
      <c r="L22" s="192">
        <v>4727.62</v>
      </c>
      <c r="M22" s="195">
        <f>(13783360.1-9348167.66)/1000</f>
        <v>4435.19244</v>
      </c>
      <c r="N22" s="196">
        <v>4164.74</v>
      </c>
      <c r="O22" s="196">
        <f>4109806.62/1000</f>
        <v>4109.80662</v>
      </c>
      <c r="P22" s="406">
        <f>4013964.84/1000</f>
        <v>4013.9648399999996</v>
      </c>
      <c r="Q22" s="406">
        <f>4013964.84/1000</f>
        <v>4013.9648399999996</v>
      </c>
    </row>
    <row r="23" spans="13:15" ht="12.75">
      <c r="M23" s="204"/>
      <c r="O23" s="214"/>
    </row>
    <row r="24" spans="1:17" s="207" customFormat="1" ht="14.25">
      <c r="A24" s="205" t="s">
        <v>451</v>
      </c>
      <c r="B24" s="206" t="s">
        <v>452</v>
      </c>
      <c r="M24" s="208"/>
      <c r="P24" s="401"/>
      <c r="Q24" s="401"/>
    </row>
    <row r="25" spans="2:17" s="207" customFormat="1" ht="14.25">
      <c r="B25" s="207" t="s">
        <v>453</v>
      </c>
      <c r="K25" s="209"/>
      <c r="P25" s="401"/>
      <c r="Q25" s="401"/>
    </row>
    <row r="26" ht="12.75">
      <c r="K26" s="204"/>
    </row>
    <row r="27" ht="12.75">
      <c r="K27" s="204"/>
    </row>
    <row r="28" ht="12.75">
      <c r="K28" s="210"/>
    </row>
    <row r="30" spans="11:12" ht="14.25">
      <c r="K30" s="211"/>
      <c r="L30" s="207"/>
    </row>
    <row r="31" ht="12.75">
      <c r="K31" s="204"/>
    </row>
    <row r="32" ht="12.75">
      <c r="K32" s="204"/>
    </row>
    <row r="33" ht="12.75">
      <c r="K33" s="210"/>
    </row>
    <row r="35" spans="11:12" ht="14.25">
      <c r="K35" s="211"/>
      <c r="L35" s="207"/>
    </row>
    <row r="36" ht="12.75">
      <c r="K36" s="204"/>
    </row>
    <row r="37" ht="12.75">
      <c r="K37" s="204"/>
    </row>
    <row r="38" ht="12.75">
      <c r="K38" s="204"/>
    </row>
    <row r="40" spans="11:12" ht="12.75">
      <c r="K40" s="211"/>
      <c r="L40" s="212"/>
    </row>
    <row r="41" spans="11:13" ht="12.75">
      <c r="K41" s="213"/>
      <c r="L41" s="214"/>
      <c r="M41" s="214"/>
    </row>
    <row r="42" spans="11:13" ht="12.75">
      <c r="K42" s="213"/>
      <c r="L42" s="214"/>
      <c r="M42" s="214"/>
    </row>
    <row r="43" spans="11:12" ht="12.75">
      <c r="K43" s="210"/>
      <c r="L43" s="212"/>
    </row>
    <row r="45" ht="12.75">
      <c r="K45" s="215"/>
    </row>
    <row r="46" ht="12.75">
      <c r="K46" s="215"/>
    </row>
    <row r="47" ht="12.75">
      <c r="K47" s="215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2024-02-08T13:18:13Z</cp:lastPrinted>
  <dcterms:modified xsi:type="dcterms:W3CDTF">2024-03-18T06:41:21Z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