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7" activeTab="2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  <sheet name="Лист1" sheetId="12" r:id="rId12"/>
  </sheets>
  <definedNames>
    <definedName name="_xlnm.Print_Area" localSheetId="2">'Госуслуги'!$A$1:$E$72</definedName>
    <definedName name="_xlnm.Print_Titles" localSheetId="9">'Расходы'!$6:$7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T13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W13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T1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W1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T26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W26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E13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E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E17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E20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E21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E23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5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E29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E30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E31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E33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E37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E39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E43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E44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E45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E47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52" authorId="0">
      <text>
        <r>
          <rPr>
            <sz val="8"/>
            <color indexed="8"/>
            <rFont val="Tahoma"/>
            <family val="2"/>
          </rPr>
          <t xml:space="preserve">0325270
</t>
        </r>
      </text>
    </comment>
    <comment ref="E57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E69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</commentList>
</comments>
</file>

<file path=xl/sharedStrings.xml><?xml version="1.0" encoding="utf-8"?>
<sst xmlns="http://schemas.openxmlformats.org/spreadsheetml/2006/main" count="1186" uniqueCount="641">
  <si>
    <t>Паспорт государственного областного казенного учреждения - центра социальной поддержки населения</t>
  </si>
  <si>
    <t>Государственное областное казенное учреждение "Снежногорский межрайонный центр социальной поддержки населения"</t>
  </si>
  <si>
    <t>На 01 января 2018 года</t>
  </si>
  <si>
    <t>Разделы:</t>
  </si>
  <si>
    <t>1.</t>
  </si>
  <si>
    <t>Общие сведения</t>
  </si>
  <si>
    <t>2.</t>
  </si>
  <si>
    <t xml:space="preserve">Сведения об оказании государственных услуг </t>
  </si>
  <si>
    <t>3.</t>
  </si>
  <si>
    <t xml:space="preserve">Сведения о  персонале </t>
  </si>
  <si>
    <t>4.</t>
  </si>
  <si>
    <t xml:space="preserve">Сведения о руководящих работниках </t>
  </si>
  <si>
    <t>5.</t>
  </si>
  <si>
    <t xml:space="preserve">Сведения об инфраструктуре  </t>
  </si>
  <si>
    <t>6.</t>
  </si>
  <si>
    <t xml:space="preserve">Сведения об оборудовании </t>
  </si>
  <si>
    <t>7.</t>
  </si>
  <si>
    <t>Сведения о потреблении коммунальных услуг</t>
  </si>
  <si>
    <t>8.</t>
  </si>
  <si>
    <t xml:space="preserve">Сведения о стоимости и износе материальных средств </t>
  </si>
  <si>
    <t>9.</t>
  </si>
  <si>
    <t xml:space="preserve">Сведения о расходах </t>
  </si>
  <si>
    <t>10.</t>
  </si>
  <si>
    <t>Предписания надзорных органов</t>
  </si>
  <si>
    <t>ГОКУ "Снежногорский межрайонный центр социальной поддержки населения"</t>
  </si>
  <si>
    <t>(наименование ГОКУ)</t>
  </si>
  <si>
    <t>Наименование учреждения в соответствии с Уставом</t>
  </si>
  <si>
    <t>Предмет деятельности учреждения</t>
  </si>
  <si>
    <t>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 территории в соответствии с законодательством Российской Федерации и законодательством Мурманской области</t>
  </si>
  <si>
    <t>Учредитель</t>
  </si>
  <si>
    <t>Министерство  социального развития Мурманской области</t>
  </si>
  <si>
    <t>Юридический адрес учреждения</t>
  </si>
  <si>
    <t>184682, г.Снежногорск-2, ул.П.Стеблина, д.10</t>
  </si>
  <si>
    <t>Фактический адрес учреждения</t>
  </si>
  <si>
    <t>Телефон/Факс</t>
  </si>
  <si>
    <t>(81530)60-619/60-619</t>
  </si>
  <si>
    <t>E-mail</t>
  </si>
  <si>
    <t>Snegnogorsk@socmurman.ru</t>
  </si>
  <si>
    <t>Адрес интерент-страницы ГОУ в сети Интернет</t>
  </si>
  <si>
    <t>нет</t>
  </si>
  <si>
    <t>Ф.И.О директора</t>
  </si>
  <si>
    <t>Гарагуля Ольга Николаевна</t>
  </si>
  <si>
    <t>Телефон директора</t>
  </si>
  <si>
    <t>(81530)60-615</t>
  </si>
  <si>
    <t>Ф.И.О заместителя директора</t>
  </si>
  <si>
    <t xml:space="preserve">Жирнова Лилия Николаевна </t>
  </si>
  <si>
    <t>Телефон</t>
  </si>
  <si>
    <t>(81530)609-57</t>
  </si>
  <si>
    <t>Ф.И.О главного бухгалтера</t>
  </si>
  <si>
    <t>Зубченко Оксана Викторвна</t>
  </si>
  <si>
    <t>(81530)63-630</t>
  </si>
  <si>
    <t>Год создания учреждения</t>
  </si>
  <si>
    <t>Занимаемые площади (кв.м):</t>
  </si>
  <si>
    <t>Документы, дающие право деятельности</t>
  </si>
  <si>
    <t>Устав (сведения об утверждении)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</si>
  <si>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</si>
  <si>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</si>
  <si>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</si>
  <si>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</si>
  <si>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51-АВ 282537 от 05.12.2011г. бессрочно;                               Свидетельство о государственной регистрации права 51-АВ 282538 от 05.12.2011г. бессрочно;  Свидетельство о государственной регистрации права 51-АГ 022275 от 25.01.2016г. бессрочно;       Свидетельство о государственной регистрации права 51-АГ 022276 от 26.01.2016г. бессрочно.</t>
  </si>
  <si>
    <t>Договор, подверждающий право на владение, пользование имуществом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</si>
  <si>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</si>
  <si>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Сведения о структурных подразделениях</t>
  </si>
  <si>
    <t>Количество структурных подразделений</t>
  </si>
  <si>
    <t>-</t>
  </si>
  <si>
    <t xml:space="preserve">Наименование структурных подразделений </t>
  </si>
  <si>
    <t>Адрес структурного подразделения</t>
  </si>
  <si>
    <t>Адрес в сети Интернет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</si>
  <si>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</si>
  <si>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</si>
  <si>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</si>
  <si>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Наименование проекта (программы)</t>
  </si>
  <si>
    <t>Уровень утверждения (областной, муниципальный, ведомственый, межведомственный др.)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</si>
  <si>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</si>
  <si>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</si>
  <si>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</si>
  <si>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</si>
  <si>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</si>
  <si>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</si>
  <si>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</si>
  <si>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ЗАТО Заозерск, ЗАТО Видяево, ЗАТО Александровск (г.Гаджиево, г.Полярный, г.Снежногорск)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</si>
  <si>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</si>
  <si>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</si>
  <si>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В том числе:</t>
  </si>
  <si>
    <t>мужчин *</t>
  </si>
  <si>
    <t>женщин*</t>
  </si>
  <si>
    <t>детей до 18 лет*</t>
  </si>
  <si>
    <t>*- информация платная, стоимость справки 130 руб. По ЗАТО статистика направляет информацию только по закрытым каналам связи.</t>
  </si>
  <si>
    <t>Сведения об оказании государственных услуг</t>
  </si>
  <si>
    <t xml:space="preserve"> </t>
  </si>
  <si>
    <t>Предоставлемые услуги</t>
  </si>
  <si>
    <t>Основание предоставления услуги (НПА)</t>
  </si>
  <si>
    <t>Численность получателей ( семей, человек)</t>
  </si>
  <si>
    <t>Расходы (рублей)</t>
  </si>
  <si>
    <t>Предоставление малоимущим семьям и малоимущим одиноко проживающим гражданам адресной государственной социальной помощи</t>
  </si>
  <si>
    <t xml:space="preserve">Закон Мурманской  области от 23.12.2004 № 549-01-ЗМО "О государственной социальной помощи в Мурманской области" </t>
  </si>
  <si>
    <t>993 семьи /       3038 чел.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</si>
  <si>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</si>
  <si>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</si>
  <si>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750/2125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</si>
  <si>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</si>
  <si>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Закон Мурманской  области от 23.12.2004 № 550-01-ЗМО "О мерах социальной поддержки отдельных категорий граждан"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</si>
  <si>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</si>
  <si>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</si>
  <si>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</si>
  <si>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</si>
  <si>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</si>
  <si>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</si>
  <si>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</si>
  <si>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Выплата разницы в стоимости единого социального проездного билета и суммы ЕДВ, размер которой ниже стоимости ЕСПБ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</si>
  <si>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</si>
  <si>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Предоставление ежемесячной жилищно-коммунальной выплаты отдельны категориям граждан из числа федеральных льготников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</si>
  <si>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</si>
  <si>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>1657/3119</t>
  </si>
  <si>
    <t xml:space="preserve">Предоставление ежемесячной коммунальной выплаты многодетным семьям </t>
  </si>
  <si>
    <t>Закон Мурманской  области от 27.12.2004 № 567-01-ЗМО "О мерах социальной поддержки многодетных семей по оплате коммунальных услуг"</t>
  </si>
  <si>
    <t>361/1762</t>
  </si>
  <si>
    <t>Ежегодная единовременная денежная выплата ветеранам труда Мурманской области</t>
  </si>
  <si>
    <t>Закон Мурманской области от 26.10.2007 № 895-01-ЗМО "О ветеранах труда Мурманской области"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</si>
  <si>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</si>
  <si>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</si>
  <si>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Возмещение расходов на оплату стоимости проезда железнодорожным транспортом в противотуберкулезный санаторий и обратно</t>
  </si>
  <si>
    <t>Закон Мурманской области от 16.06.1997 № 67-01-ЗМО "Об основах организации борьбы с туберкулезом в Мурманской области"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</si>
  <si>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</si>
  <si>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</si>
  <si>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Назначение и выплата регионального единовременного пособия при рождении (усыновлении) третьего и последующего детей</t>
  </si>
  <si>
    <t>постановление Правительства Мурманской области от 12.01.2011 № 1-ПП "О региональных единовременных пособиях"</t>
  </si>
  <si>
    <t>Назначение и выплата регионального единовременного пособия при рождении (усыновлении) одновременно двух и более детей</t>
  </si>
  <si>
    <t>14 получателя / 28 детей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</si>
  <si>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</si>
  <si>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</si>
  <si>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</si>
  <si>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</si>
  <si>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Единовременная денежная выплата гражданам, родившимся в период с 23 июня 1923 года по 3 сентября 1945 года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</si>
  <si>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</si>
  <si>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Единовременная денежная выплата к Международному Дню пожилых людей</t>
  </si>
  <si>
    <t>Единовременная денежная выплата ветеранам в связи с празднованием Дня Победы в Великой Отечественной войне 1941-1945гг.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</si>
  <si>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</si>
  <si>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Единовременная денежная выплата в связи с празднованием разгрома немецко-фашистских войск в Заполярье</t>
  </si>
  <si>
    <t>Единовременная денежная выплата в связи с празднованием Дня защитника Отечества</t>
  </si>
  <si>
    <t>Единовременная материальная помощь к Международному дню инвалидов</t>
  </si>
  <si>
    <t>постановление Правительства Мурманской области от 29.07.2008 № 354-ПП "О социальной поддержке инвалидов"</t>
  </si>
  <si>
    <t xml:space="preserve">Предоставление региональной единовременной выплаты семьям, имеющим детей больных фенилкетонурией 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</si>
  <si>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</si>
  <si>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</si>
  <si>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постановление Правительства Мурманской области от 11.02.2007 № 221-ПП</t>
  </si>
  <si>
    <t>Прием документов и подготовка ходатайств для оказания материальной помощи пенсионерам, оказавшимся в трудной жизненной ситуации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</si>
  <si>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</si>
  <si>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Прием документов и подготовка ходатайств для оказания материальной помощи инвалидам, оказавшимся в трудной жизненной ситуации</t>
  </si>
  <si>
    <t>Предоставление гражданам субсидий на оплату жилых помещений и коммунальных услуг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</si>
  <si>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</si>
  <si>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</si>
  <si>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Закон Российской Федерации от 09.06.1993 № 5142-1 "О донорстве крови и ее компонентов"</t>
  </si>
  <si>
    <t>Назначение и выплата социального пособия на погребение</t>
  </si>
  <si>
    <t>Федеральный закон от 19.05.1995 № 81-ФЗ "О государственных пособиях гражданам, имеющим детей"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</si>
  <si>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</si>
  <si>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</si>
  <si>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</si>
  <si>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</si>
  <si>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Назначение и выплата пособия матери ребенка военнослужащего, проходящего службу по призыву</t>
  </si>
  <si>
    <t>единовременное пособие беременным женам военнослужащих, проходящих службу по призыву</t>
  </si>
  <si>
    <t>ежемесячное пособие матери ребенка военнослужащего, проходящего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</si>
  <si>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</si>
  <si>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</si>
  <si>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Указ Президента РФ от 05.11.1992 № 1335;
письмо Министерства финансов РФ от 11.03.1993 № 23 (регистрация в Минюсте РФ)
</t>
  </si>
  <si>
    <t xml:space="preserve">Пособия гражданам, у которых возникли поствакцинальные осложнения: </t>
  </si>
  <si>
    <t>Федеральный закон от 17.09.1998 № 157-ФЗ "Об иммунопрофилактике инфекционных болезней"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</si>
  <si>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</si>
  <si>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</si>
  <si>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Пособие на проведение летнего оздоровительного отдыха детей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</si>
  <si>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</si>
  <si>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</si>
  <si>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</si>
  <si>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200 получателя/ 259 льготопольз.</t>
  </si>
  <si>
    <t>Ежемесячная денежная компенсация на приобретение продовольственных товаров отдельным категориям граждан, подвергшихся воздействию радиации</t>
  </si>
  <si>
    <t xml:space="preserve">Закон РФ от 15.05.1991 N 1244-1 "О социальной защите граждан, подвергшихся воздействию радиации вследствие катастрофы на Чернобыльской АЭС") 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</si>
  <si>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Ежемесячная денежная компенсация ввозмещение вреда, причиненного здоровью отдельным категориям граждан, подвергшихся воздействию радиации</t>
  </si>
  <si>
    <t>Ежегодная компенсация на оздоровление отдельным категориям граждан, подвергшихся воздействию радиации</t>
  </si>
  <si>
    <t>Оплата дополнительного оплачиваемого отпуска отдельным категориям граждан, подвергшихся воздействию радиации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</si>
  <si>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</si>
  <si>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</si>
  <si>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</si>
  <si>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</si>
  <si>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Выдача студентам из малоимущих семей справок о нуждаемости для получения государственной социальной стипендии</t>
  </si>
  <si>
    <t xml:space="preserve">Постановление Правительства РФ от 27.06.2001 N 487 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</si>
  <si>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</si>
  <si>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 xml:space="preserve">постановление Минтруда РФ от 11.10.2000 № 69;
Постановление Минтруда РФ от 07.07.1999 № 20;
приказ Министерства здравоохранения и социального развития Мурманской области  от 29.10.2009 № 421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</si>
  <si>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</si>
  <si>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</si>
  <si>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Ежемесячная денежная выплата нуждающимся в поддержке семьям при рождении третьего и последующих детей до достижения ребенком возраста трех лет</t>
  </si>
  <si>
    <t>постановление Правительства Мурманской области от 01.08.2012 № 393-ПП- "О предоставлении ежемесячой денежной выплаты нуждающимся в поддержке семьям при рождении третьего и последующих детей до достижения ребенком возраста трех лет"</t>
  </si>
  <si>
    <t>Выдача сертификатов на региональный материнский (семейный) капитал для реализации дополнительных мер социаьной поддержки</t>
  </si>
  <si>
    <t>Закон Мурманской области от 19.12.2011 № 1447-01-ЗМО "О дополнительных мерах социальной поддержки семей с детьми в Мурманской области"</t>
  </si>
  <si>
    <t>Распоряжение средствами (частью средств) регионального материнского (семейного) капитала в Мурманской области</t>
  </si>
  <si>
    <t>постановление Правительства Мурманской области от 23.11.2012 № 589-ПП- "О порядке распоряжения средствами (частью средств) регионального материнского (семейного) капитала в Мурманской области</t>
  </si>
  <si>
    <t>Ежемесячная денежная компенсация, установленная частями 9, 10 и 13 статьи 3 ФЗ "О денежном довольствии военнослужащих и предоставлении им отдельных выплат"</t>
  </si>
  <si>
    <t>постановление Правительства РФ от 22.02.2012 № 142" О финансовом обеспечении и об осуществлении ежемесячной денежной компенсации, установленная частями 9, 10 и 13 статьи 3 ФЗ "О денежном довольствии военнослужащих и предоставлении им отдельных выплат"</t>
  </si>
  <si>
    <t>Компенсация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помощи.</t>
  </si>
  <si>
    <t>постановление Правительства Мурманской области от 14.08.2012 № 407-ПП "О компенсации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помощи".</t>
  </si>
  <si>
    <t xml:space="preserve">Сведения о персонале </t>
  </si>
  <si>
    <t>№ п/п</t>
  </si>
  <si>
    <t>Параметр</t>
  </si>
  <si>
    <t>Ед. измерения</t>
  </si>
  <si>
    <t>Данные на 01.01.2009, 01.11.2009</t>
  </si>
  <si>
    <t>Данные на 01.01.2010</t>
  </si>
  <si>
    <t>Данные на 01.01.2011</t>
  </si>
  <si>
    <t>Данные на 01.01.2012</t>
  </si>
  <si>
    <t>Данные на 01.01.2013</t>
  </si>
  <si>
    <t>Данные на 01.01.2014</t>
  </si>
  <si>
    <t>Данные на 01.07.2014</t>
  </si>
  <si>
    <t>Данные на 01.01.2015</t>
  </si>
  <si>
    <t>данные на 01.07.2015</t>
  </si>
  <si>
    <t>Данные на 01.01.2016</t>
  </si>
  <si>
    <t>данные на 01.07.2016</t>
  </si>
  <si>
    <t>данные на 01.01.2017</t>
  </si>
  <si>
    <t>данные на 01.07.2017</t>
  </si>
  <si>
    <t>данные на 01.01.2018</t>
  </si>
  <si>
    <t>Физические лица</t>
  </si>
  <si>
    <t>Всего, из них</t>
  </si>
  <si>
    <t>чел.</t>
  </si>
  <si>
    <t>руководящие работники, в т.ч.</t>
  </si>
  <si>
    <t>директор</t>
  </si>
  <si>
    <t xml:space="preserve">заместители директора </t>
  </si>
  <si>
    <t>главный бухгалтер</t>
  </si>
  <si>
    <t>руководители структурных подразделений</t>
  </si>
  <si>
    <t>специалисты</t>
  </si>
  <si>
    <t>администратор баз данных</t>
  </si>
  <si>
    <t>юрисконсульт</t>
  </si>
  <si>
    <t>обслуживающий персонал</t>
  </si>
  <si>
    <t>Штатное расписание</t>
  </si>
  <si>
    <t>ставка</t>
  </si>
  <si>
    <t>руководители структурных подрзделений</t>
  </si>
  <si>
    <t>Количество работающих пенсионеров</t>
  </si>
  <si>
    <t>Образовательный уровень</t>
  </si>
  <si>
    <t>имеют высшее образование</t>
  </si>
  <si>
    <t>имеют среднее специальное образование</t>
  </si>
  <si>
    <t>обучаются в ВУЗах, в том числе:</t>
  </si>
  <si>
    <t>получают первое высшее образование</t>
  </si>
  <si>
    <t>получают второе высшее образование</t>
  </si>
  <si>
    <t>получают  третье и последующее высшее образование</t>
  </si>
  <si>
    <t>Стаж работы</t>
  </si>
  <si>
    <t>до 5 лет</t>
  </si>
  <si>
    <t>от 5 до 10 лет</t>
  </si>
  <si>
    <t>от 10 до 20 лет</t>
  </si>
  <si>
    <t>более 20 лет</t>
  </si>
  <si>
    <t>Показатель на отчетную дату</t>
  </si>
  <si>
    <t xml:space="preserve">Руководитель </t>
  </si>
  <si>
    <t>Дата назначения на должность</t>
  </si>
  <si>
    <t>06.11.2009 г.</t>
  </si>
  <si>
    <t>Тип назначения (конкурс, назначение)</t>
  </si>
  <si>
    <t>назначение</t>
  </si>
  <si>
    <t>Сроки последнего контракта</t>
  </si>
  <si>
    <t>на неопределенный срок</t>
  </si>
  <si>
    <t>Наличие совмещения должностей</t>
  </si>
  <si>
    <t>4.1.</t>
  </si>
  <si>
    <t>Наименование совмещаемой должности</t>
  </si>
  <si>
    <t>Сведения о поощрениях, награждениях (за период с начала года)</t>
  </si>
  <si>
    <t>Благодарственное письмо Министерства социального развития Мурманской области Почетная грамота ЗАТО Видяево</t>
  </si>
  <si>
    <t>Сведения о взысканиях (за период с начала года, а также не снятых взысканиях на отчетную дату)</t>
  </si>
  <si>
    <t>Заместитель руководителя*</t>
  </si>
  <si>
    <t>01.03.2013 г.</t>
  </si>
  <si>
    <t xml:space="preserve">не определенный срок </t>
  </si>
  <si>
    <t>Наличие категории</t>
  </si>
  <si>
    <t>11.</t>
  </si>
  <si>
    <t>Дата присвоения</t>
  </si>
  <si>
    <t>12.</t>
  </si>
  <si>
    <t>Срок действия</t>
  </si>
  <si>
    <t xml:space="preserve">Сведения об инфраструктуре </t>
  </si>
  <si>
    <t>Ед.измерения</t>
  </si>
  <si>
    <t xml:space="preserve">Показатель на отчетную дату </t>
  </si>
  <si>
    <t>Здание</t>
  </si>
  <si>
    <t>Количество зданий</t>
  </si>
  <si>
    <t>ед.</t>
  </si>
  <si>
    <t>Площадь зданий</t>
  </si>
  <si>
    <t>м.кв.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</si>
  <si>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</si>
  <si>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</si>
  <si>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</si>
  <si>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</si>
  <si>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</si>
  <si>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Год постройки</t>
  </si>
  <si>
    <t>Этажность</t>
  </si>
  <si>
    <t>этаж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</si>
  <si>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</si>
  <si>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</si>
  <si>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</si>
  <si>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центральное</t>
  </si>
  <si>
    <t>от собственной котельной</t>
  </si>
  <si>
    <t>печное</t>
  </si>
  <si>
    <t>Количество зданий, имеющих централизованное горячее водоснабжение</t>
  </si>
  <si>
    <t>Количество зданий, имеющих электроснабжение</t>
  </si>
  <si>
    <t>Количество зданий снабженных теплосчетчиками</t>
  </si>
  <si>
    <t>Количество теплосчетчиков</t>
  </si>
  <si>
    <t>Количество зданий снабженных водосчетчиками</t>
  </si>
  <si>
    <t>Количество водосчетчиков</t>
  </si>
  <si>
    <t>Количество зданий, оборудованных АПС</t>
  </si>
  <si>
    <t>из них количество зданий, оборудованных неисправной АПС</t>
  </si>
  <si>
    <t>Количество АПС, выведенных на пульт подразделения пожарной охраны</t>
  </si>
  <si>
    <t>Количество зданий, оборудованных системой оповещения и управления эвакуацией людей при пожаре в здании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</si>
  <si>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</si>
  <si>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</si>
  <si>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 xml:space="preserve">из них количество зданий, оборудованных неисправным противопожарным водоснабжение здания 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</si>
  <si>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</si>
  <si>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</si>
  <si>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>Количество зданий, состояние эвакуационных путей и выходов которых соответствуют требованиям пожарной безопасности</t>
  </si>
  <si>
    <t>Количество зданий, состояние эвакуационных путей и выходов которых не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</si>
  <si>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</si>
  <si>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1 - имееются,                                    2 - отсутствуют,                                               3 - обеспечены в полном объеме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</si>
  <si>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</si>
  <si>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</si>
  <si>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</si>
  <si>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>Количество зданий, оборудованных внешней системой видеонаблюдения</t>
  </si>
  <si>
    <t>из них количество зданий, оборудованных неисправной внешней системой видеонаблюдения</t>
  </si>
  <si>
    <t>Количество зданий, оборудованных внутренней системой видеонаблюдения</t>
  </si>
  <si>
    <t>из них количество зданий, оборудованных неисправной внутренней системой видеонаблюдения</t>
  </si>
  <si>
    <t>Количество огнетушителей</t>
  </si>
  <si>
    <t>Количество зданий, оборудованных охранной сигнализацией</t>
  </si>
  <si>
    <t>из них количество зданий, оборудованных неисправной охранной сигнализацией</t>
  </si>
  <si>
    <t>Количество зданий, оборудованных КТС</t>
  </si>
  <si>
    <t>из них количество зданий, оборудованных неисправной КТС</t>
  </si>
  <si>
    <t>Наличие охраны:</t>
  </si>
  <si>
    <t>физическая охрана (сторож, вахта)</t>
  </si>
  <si>
    <t>да/нет</t>
  </si>
  <si>
    <t>вневедомственная охрана</t>
  </si>
  <si>
    <t>ЧОП</t>
  </si>
  <si>
    <t>Количество сторожей при наличии физической охраны</t>
  </si>
  <si>
    <t>штат.ед.</t>
  </si>
  <si>
    <t xml:space="preserve">Наличие прямой телефонной связи с </t>
  </si>
  <si>
    <t>МВД</t>
  </si>
  <si>
    <t>находящихся в исправном состоянии</t>
  </si>
  <si>
    <t>признанных ветхими</t>
  </si>
  <si>
    <t>нуждается в реконструкции</t>
  </si>
  <si>
    <t>находится в аварийном состоянии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</si>
  <si>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</si>
  <si>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</si>
  <si>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имеющих металлические входные двери в здание</t>
  </si>
  <si>
    <t>Помещения*</t>
  </si>
  <si>
    <t xml:space="preserve">Количество комнат (кабинетов) </t>
  </si>
  <si>
    <t>Их площадь</t>
  </si>
  <si>
    <t>Количество комнат отдыха</t>
  </si>
  <si>
    <t xml:space="preserve">Наличие актового зала </t>
  </si>
  <si>
    <t>Его площадь</t>
  </si>
  <si>
    <t xml:space="preserve">Наличие комнаты дежурного </t>
  </si>
  <si>
    <t>Ее площадь</t>
  </si>
  <si>
    <t>Количество кабинетов управленческого персонала</t>
  </si>
  <si>
    <t>Вспомогательные помещения</t>
  </si>
  <si>
    <t>Гаражи</t>
  </si>
  <si>
    <t>Мастерские</t>
  </si>
  <si>
    <t xml:space="preserve">Другие помещения </t>
  </si>
  <si>
    <t>Земельные участки</t>
  </si>
  <si>
    <t>Количество земельных участков</t>
  </si>
  <si>
    <t>Договор безвоздмезного временного пользования недвижимым муниципальным имуществом № 311 от 01.04.2010г. (Общая площадь 78,6)</t>
  </si>
  <si>
    <t>Договор безвоздмезного временного пользования недвижимым муниципальным имуществом № 307 от 01.11.2009г. (Общая площадь 24,6)</t>
  </si>
  <si>
    <t>Договор безвоздмезного временного пользования недвижимым муниципальным имуществом № 17 от 06.12.2010г. (Общая площадь 47,1)</t>
  </si>
  <si>
    <t>Договор безвоздмезного временного пользования недвижимым муниципальным имуществом № 06/09 от 13.11.2009г. (Общая площадь 91,3)</t>
  </si>
  <si>
    <t>Договор безвоздмезного временного пользования недвижимым муниципальным имуществом № 03/10 от 23.04.2010г. (Общая площадь 60,5)</t>
  </si>
  <si>
    <t>Договор безвоздмезного временного пользования недвижимым муниципальным имуществом № 5 от 15.02.2010г. (Общая площадь 23,3)</t>
  </si>
  <si>
    <t>Сведения об оборудовании</t>
  </si>
  <si>
    <t>Компьютеры</t>
  </si>
  <si>
    <t>Количество ПК</t>
  </si>
  <si>
    <t>шт.</t>
  </si>
  <si>
    <t>Количество ноутбуков</t>
  </si>
  <si>
    <t>Количество серверов</t>
  </si>
  <si>
    <t>Наличие единой локальной сети</t>
  </si>
  <si>
    <t>1-да, 2-нет</t>
  </si>
  <si>
    <t>Количество ПК в сети</t>
  </si>
  <si>
    <t>Наличие подключения к сети Интернет</t>
  </si>
  <si>
    <t>Тип подключения к сети Интернет (наземный, спутниковый)</t>
  </si>
  <si>
    <t>1-наземный,       2-спутниковый</t>
  </si>
  <si>
    <t>Скорость доступа к сети Интернет</t>
  </si>
  <si>
    <t>Мбит/с</t>
  </si>
  <si>
    <t>Количество ПК, имеющих выход в Интернет</t>
  </si>
  <si>
    <t>Автотранспорт</t>
  </si>
  <si>
    <t xml:space="preserve">Количество а/м </t>
  </si>
  <si>
    <t>В них пассажирских мест</t>
  </si>
  <si>
    <t>Количество а/м для хоз.нужд</t>
  </si>
  <si>
    <t>Иная техника</t>
  </si>
  <si>
    <t>Другая техника*</t>
  </si>
  <si>
    <t>* заполняется при наличии</t>
  </si>
  <si>
    <t>Ед.изме-рения</t>
  </si>
  <si>
    <t>фактически в 2009</t>
  </si>
  <si>
    <t>фактически в 2010</t>
  </si>
  <si>
    <t>фактически в 2011</t>
  </si>
  <si>
    <t>фактически в 2012</t>
  </si>
  <si>
    <t>план на 2013</t>
  </si>
  <si>
    <t>фактически в 2013</t>
  </si>
  <si>
    <t>план на 2014</t>
  </si>
  <si>
    <t>Фактически 2014 год</t>
  </si>
  <si>
    <t>план на 2015</t>
  </si>
  <si>
    <t>Фактически 2015 год</t>
  </si>
  <si>
    <t>план на 2016</t>
  </si>
  <si>
    <t>Фактически 2016 год</t>
  </si>
  <si>
    <t>план на 2017</t>
  </si>
  <si>
    <t>Фактически 2017 год</t>
  </si>
  <si>
    <t>Объемы потребления</t>
  </si>
  <si>
    <t>Холодная вода</t>
  </si>
  <si>
    <t>м.куб.</t>
  </si>
  <si>
    <t>Холодное водоотведение</t>
  </si>
  <si>
    <t>Горячая вода</t>
  </si>
  <si>
    <t>Гкалл</t>
  </si>
  <si>
    <t>Отопление</t>
  </si>
  <si>
    <t>Электроэнергия</t>
  </si>
  <si>
    <t>Квт/час</t>
  </si>
  <si>
    <t>Тарифы</t>
  </si>
  <si>
    <t>руб.</t>
  </si>
  <si>
    <t xml:space="preserve">Сведения о стоимости и износе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</si>
  <si>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</si>
  <si>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</si>
  <si>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</si>
  <si>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</si>
  <si>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</si>
  <si>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</si>
  <si>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</si>
  <si>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 2017 год</t>
  </si>
  <si>
    <t>Балансовая стоимость зданий*</t>
  </si>
  <si>
    <t>тыс.руб.</t>
  </si>
  <si>
    <t>Фактический физический износ</t>
  </si>
  <si>
    <t>%</t>
  </si>
  <si>
    <t>Оценочная стоимость</t>
  </si>
  <si>
    <t>Техническое состояние зданий</t>
  </si>
  <si>
    <t>4.2.</t>
  </si>
  <si>
    <t>требует реконструкии</t>
  </si>
  <si>
    <t>4.3.</t>
  </si>
  <si>
    <t>требует капитального ремонта</t>
  </si>
  <si>
    <t>Балансовая стоимость основных средств</t>
  </si>
  <si>
    <t>Износ (амортизация) основных средств:</t>
  </si>
  <si>
    <t>6.1.</t>
  </si>
  <si>
    <t>оборудования</t>
  </si>
  <si>
    <t>6.2.</t>
  </si>
  <si>
    <t>мебели</t>
  </si>
  <si>
    <t>6.3.</t>
  </si>
  <si>
    <t>спальной мебели</t>
  </si>
  <si>
    <t>6.4.</t>
  </si>
  <si>
    <t>компьютерной техники и оргтехники</t>
  </si>
  <si>
    <t>6.5.</t>
  </si>
  <si>
    <t>6.6.</t>
  </si>
  <si>
    <t>технологического оборудования</t>
  </si>
  <si>
    <t>6.7.</t>
  </si>
  <si>
    <t>автотранспорта</t>
  </si>
  <si>
    <t>Остаточная стоимость основных средств</t>
  </si>
  <si>
    <t>*</t>
  </si>
  <si>
    <t>Читать вместо "зданий" помещений</t>
  </si>
  <si>
    <t>Износ в таблице указан накопленный.</t>
  </si>
  <si>
    <t>(название ГОКУ)</t>
  </si>
  <si>
    <t>Наименование расходов</t>
  </si>
  <si>
    <t>ЭКР</t>
  </si>
  <si>
    <t>Код строки</t>
  </si>
  <si>
    <t>БР 2010, тыс. руб.</t>
  </si>
  <si>
    <t>Касса 2010, тыс.руб.</t>
  </si>
  <si>
    <t>% испол-нения БР 2010</t>
  </si>
  <si>
    <t>БР 2011, тыс. руб.</t>
  </si>
  <si>
    <t>Касса 2011, тыс.руб.</t>
  </si>
  <si>
    <t>% испол-нения БР 2011</t>
  </si>
  <si>
    <t>БР 2012, тыс. руб.</t>
  </si>
  <si>
    <t>Касса 2012, тыс.руб.</t>
  </si>
  <si>
    <t>% испол-нения БР 2012</t>
  </si>
  <si>
    <t>БР 2013, тыс. руб.</t>
  </si>
  <si>
    <t>Касса 2013, тыс.руб.</t>
  </si>
  <si>
    <t>% испол-нения БР 2013</t>
  </si>
  <si>
    <t>БР 2014, тыс. руб.</t>
  </si>
  <si>
    <t>Касса 2014, тыс.руб.</t>
  </si>
  <si>
    <t>% испол-нения БР 2014</t>
  </si>
  <si>
    <t>БР 2015, тыс. руб.</t>
  </si>
  <si>
    <t>Касса на 2015, тыс.руб.</t>
  </si>
  <si>
    <t>% испол-нения БР 2015</t>
  </si>
  <si>
    <t>БР 2016, тыс. руб.</t>
  </si>
  <si>
    <t>Касса  2016, тыс.руб.</t>
  </si>
  <si>
    <t>% испол-нения БР на 01.01.2017</t>
  </si>
  <si>
    <t>БР 2017, тыс. руб.</t>
  </si>
  <si>
    <t>Касса на 2017, тыс.руб.</t>
  </si>
  <si>
    <t>% испол-нения БР 2017</t>
  </si>
  <si>
    <t>Расходы</t>
  </si>
  <si>
    <t>20000</t>
  </si>
  <si>
    <t>1.1.</t>
  </si>
  <si>
    <t>Оплата труда и начисления на оплату труда</t>
  </si>
  <si>
    <t>1.1.1.</t>
  </si>
  <si>
    <t xml:space="preserve"> Заработная плата, в том числе:  </t>
  </si>
  <si>
    <t>1.1.1.1.</t>
  </si>
  <si>
    <t>выплаты по заработной плате, оплата отпусков, другие выплаты</t>
  </si>
  <si>
    <t>211.01</t>
  </si>
  <si>
    <t>1.1.1.2.</t>
  </si>
  <si>
    <t>выплаты премий и других единовременных выплат поощрительного характера</t>
  </si>
  <si>
    <t>211.02</t>
  </si>
  <si>
    <t>1.1.2.</t>
  </si>
  <si>
    <t xml:space="preserve"> Прочие выплаты, в том числе:  </t>
  </si>
  <si>
    <t>1.1.2.1.</t>
  </si>
  <si>
    <t>командировочные расходы</t>
  </si>
  <si>
    <t>212.01</t>
  </si>
  <si>
    <t>1.1.2.2.</t>
  </si>
  <si>
    <t>меры социальной поддержки, установленные Законами Мурманской области</t>
  </si>
  <si>
    <t>212.02</t>
  </si>
  <si>
    <t>1.1.2.3.</t>
  </si>
  <si>
    <t xml:space="preserve"> другие выплаты по прочим выплатам</t>
  </si>
  <si>
    <t>212.99</t>
  </si>
  <si>
    <t>1.1.3.</t>
  </si>
  <si>
    <t xml:space="preserve"> Начисления на оплату труда</t>
  </si>
  <si>
    <t>1.2.</t>
  </si>
  <si>
    <t>Приобретение услуг</t>
  </si>
  <si>
    <t>1.2.1.</t>
  </si>
  <si>
    <t xml:space="preserve"> Услуги связи, в том числе:       </t>
  </si>
  <si>
    <t>1.2.2.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</si>
  <si>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</si>
  <si>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</si>
  <si>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</si>
  <si>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</si>
  <si>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</si>
  <si>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>222.99</t>
  </si>
  <si>
    <t>1.2.3.</t>
  </si>
  <si>
    <t xml:space="preserve"> Коммунальные услуги</t>
  </si>
  <si>
    <t>1.2.4.</t>
  </si>
  <si>
    <t xml:space="preserve"> Арендная плата за пользование имуществом</t>
  </si>
  <si>
    <t>1.2.5.</t>
  </si>
  <si>
    <t xml:space="preserve"> Услуги по содержанию имущества, в том числе:</t>
  </si>
  <si>
    <t>1.2.5.1.</t>
  </si>
  <si>
    <t xml:space="preserve"> содержание в чистоте  помещений, зданий, дворов, иного имущества</t>
  </si>
  <si>
    <t>225.01</t>
  </si>
  <si>
    <t>1.2.5.2.</t>
  </si>
  <si>
    <t xml:space="preserve"> ремонт (текущий и капитальный) и реставрация нефинансовых активов, за исключением недвижимого имущества</t>
  </si>
  <si>
    <t>225.02</t>
  </si>
  <si>
    <t>1.2.5.3.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</si>
  <si>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</si>
  <si>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225.03</t>
  </si>
  <si>
    <t>1.2.5.4.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</si>
  <si>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</si>
  <si>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225.04</t>
  </si>
  <si>
    <t>1.2.5.5.</t>
  </si>
  <si>
    <t xml:space="preserve"> ремонт (текущий и капитальный) и реставрация нефинансовых активов в части недвижимого имущества</t>
  </si>
  <si>
    <t>225.05</t>
  </si>
  <si>
    <t>1.2.5.6.</t>
  </si>
  <si>
    <t>другие расходы по содержанию имущества</t>
  </si>
  <si>
    <t>225.99</t>
  </si>
  <si>
    <t>1.2.6.</t>
  </si>
  <si>
    <t xml:space="preserve"> Прочие услуги, в том числе:</t>
  </si>
  <si>
    <t>1.2.6.1.</t>
  </si>
  <si>
    <t>монтаж и установка локальных вычислительных сетей</t>
  </si>
  <si>
    <t>226.01</t>
  </si>
  <si>
    <t>1.2.6.2.</t>
  </si>
  <si>
    <t>организация питания</t>
  </si>
  <si>
    <t>226.02</t>
  </si>
  <si>
    <t>1.2.6.3.</t>
  </si>
  <si>
    <t>226.03</t>
  </si>
  <si>
    <t>1.2.6.4.</t>
  </si>
  <si>
    <t>226.04</t>
  </si>
  <si>
    <t>1.2.6.5.</t>
  </si>
  <si>
    <t>услуги в области информационных технологий</t>
  </si>
  <si>
    <t>226.05</t>
  </si>
  <si>
    <t>1.2.6.6.</t>
  </si>
  <si>
    <t>монтаж и установка систем охранной и пожарной сигнализации, видеонаблюдения</t>
  </si>
  <si>
    <t>226.06</t>
  </si>
  <si>
    <t>1.2.6.7.</t>
  </si>
  <si>
    <t>другие расходы по прочим работам, услугам</t>
  </si>
  <si>
    <t>226.99</t>
  </si>
  <si>
    <t>1.3.</t>
  </si>
  <si>
    <t xml:space="preserve"> Социальное обеспечение, в том числе:</t>
  </si>
  <si>
    <t>1.3.1.</t>
  </si>
  <si>
    <t>Пенсии, пособия и выплаты по пенсионному,  социальному  и  медицинскому страхованию населения</t>
  </si>
  <si>
    <t>1.3.2.</t>
  </si>
  <si>
    <t xml:space="preserve"> Пособия по социальной помощи населению</t>
  </si>
  <si>
    <t>1.3.3.</t>
  </si>
  <si>
    <t>Пенсии,  пособия,  выплачиваемые  организациями   сектора  государственного управления</t>
  </si>
  <si>
    <t>26300</t>
  </si>
  <si>
    <t>1.4.</t>
  </si>
  <si>
    <t xml:space="preserve"> Прочие расходы, в том числе:</t>
  </si>
  <si>
    <t>1.4.1.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</si>
  <si>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</si>
  <si>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</si>
  <si>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1.4.2.</t>
  </si>
  <si>
    <t>выплата стипендий</t>
  </si>
  <si>
    <t>290.02</t>
  </si>
  <si>
    <t>1.4.3.</t>
  </si>
  <si>
    <t>представительские расходы, прием и обслуживание делегаций, приобретение  (изготовление) подарочной и сувенирной продукции, не предназначенной для дальнейшей перепродажи</t>
  </si>
  <si>
    <t>290.03</t>
  </si>
  <si>
    <t>1.4.4.</t>
  </si>
  <si>
    <t>иные расходы</t>
  </si>
  <si>
    <t>290.99</t>
  </si>
  <si>
    <t xml:space="preserve"> Поступление нефинансовых активов </t>
  </si>
  <si>
    <t>2.1.</t>
  </si>
  <si>
    <t xml:space="preserve"> Увеличение стоимости основных средств, в том числе: </t>
  </si>
  <si>
    <t>2.1.1.</t>
  </si>
  <si>
    <t>автотранспорт, реконструкция, дооборудование, модернизация</t>
  </si>
  <si>
    <t>310.01</t>
  </si>
  <si>
    <t>2.1.2.</t>
  </si>
  <si>
    <t>охранно-пожарная сигнализация</t>
  </si>
  <si>
    <t>310.02</t>
  </si>
  <si>
    <t>2.1.3.</t>
  </si>
  <si>
    <t>комплектация книжных фондов библиотек</t>
  </si>
  <si>
    <t>310.03</t>
  </si>
  <si>
    <t>2.1.4.</t>
  </si>
  <si>
    <t>компьютерная техника, оргтехника</t>
  </si>
  <si>
    <t>310.04</t>
  </si>
  <si>
    <t>2.1.5.</t>
  </si>
  <si>
    <t>бытовая техника, мебель</t>
  </si>
  <si>
    <t>310.05</t>
  </si>
  <si>
    <t>2.1.6.</t>
  </si>
  <si>
    <t xml:space="preserve"> другие расходы на увеличение стоимости основных средств                    </t>
  </si>
  <si>
    <t>310.99</t>
  </si>
  <si>
    <t>2.2.</t>
  </si>
  <si>
    <t>Увеличение стоимости нематериальных активов</t>
  </si>
  <si>
    <t>32000</t>
  </si>
  <si>
    <t>2.3.</t>
  </si>
  <si>
    <t xml:space="preserve"> Увеличение стоимости материальных запасов, в том числе:</t>
  </si>
  <si>
    <t>2.3.1.</t>
  </si>
  <si>
    <t>медикаменты и перевязочные средства</t>
  </si>
  <si>
    <t>340.01</t>
  </si>
  <si>
    <t>2.3.2.</t>
  </si>
  <si>
    <t>продукты питания</t>
  </si>
  <si>
    <t>340.02</t>
  </si>
  <si>
    <t>2.3.3.</t>
  </si>
  <si>
    <t>горюче-смазочные материалы</t>
  </si>
  <si>
    <t>340.03</t>
  </si>
  <si>
    <t>2.3.4.</t>
  </si>
  <si>
    <t>мягкий инвентарь</t>
  </si>
  <si>
    <t>340.04</t>
  </si>
  <si>
    <t>2.3.5.</t>
  </si>
  <si>
    <t>другие расходы на увеличение стоимости материальных запасов</t>
  </si>
  <si>
    <t>340.99</t>
  </si>
  <si>
    <t xml:space="preserve">ИТОГО РАСХОДЫ ПО ГОКУ </t>
  </si>
  <si>
    <t>Информация о предписаниях  надзорных органов и проведенных  мероприятиях по их устранению в 2013 году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</si>
  <si>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</si>
  <si>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</si>
  <si>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</si>
  <si>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</si>
  <si>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</si>
  <si>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</si>
  <si>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</si>
  <si>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ЦС</t>
  </si>
  <si>
    <t>ВР</t>
  </si>
  <si>
    <t>КОСГУ</t>
  </si>
  <si>
    <t>Код цели</t>
  </si>
  <si>
    <t>ФГКУ "Специальное управление ФПС №48 МЧС России"</t>
  </si>
  <si>
    <t>05.12.2012г. №322/1/21</t>
  </si>
  <si>
    <t>Отсутствует противопожарная преграда, отделяющая помещения Центра от жилой части здания</t>
  </si>
  <si>
    <t>до 01.07.2013</t>
  </si>
  <si>
    <t>224</t>
  </si>
  <si>
    <t>225</t>
  </si>
  <si>
    <t>Исполнено в полном объеме</t>
  </si>
  <si>
    <t>В помещениях Центра не установленна система автоматического обнаружения пожара</t>
  </si>
  <si>
    <t>6222800</t>
  </si>
  <si>
    <t>244</t>
  </si>
  <si>
    <t>226</t>
  </si>
  <si>
    <t>Информация о предписаниях  надзорных органов и проведенных  мероприятиях по их устранению в 2014,2015,2016,2017 году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</si>
</sst>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р_._-;\-* #,##0.00_р_._-;_-* \-??_р_._-;_-@_-"/>
    <numFmt numFmtId="166" formatCode="DD/MMM"/>
    <numFmt numFmtId="167" formatCode="DD/MM/YYYY"/>
    <numFmt numFmtId="168" formatCode="0000"/>
    <numFmt numFmtId="169" formatCode="0.00"/>
    <numFmt numFmtId="170" formatCode="#,##0.00"/>
    <numFmt numFmtId="171" formatCode="@"/>
    <numFmt numFmtId="172" formatCode="#,##0"/>
    <numFmt numFmtId="173" formatCode="#,##0.0"/>
    <numFmt numFmtId="174" formatCode="#,##0.00_ ;\-#,##0.00\ "/>
    <numFmt numFmtId="175" formatCode="0.00%"/>
    <numFmt numFmtId="176" formatCode="0%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color indexed="20"/>
      <name val="Times New Roman"/>
      <family val="1"/>
    </font>
    <font>
      <b/>
      <sz val="10"/>
      <color indexed="20"/>
      <name val="Arial Cyr"/>
      <family val="2"/>
    </font>
    <font>
      <sz val="6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6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6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33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1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vertical="top" wrapText="1"/>
    </xf>
    <xf numFmtId="166" fontId="11" fillId="3" borderId="3" xfId="0" applyNumberFormat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/>
    </xf>
    <xf numFmtId="164" fontId="11" fillId="0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left" vertical="top" wrapText="1"/>
    </xf>
    <xf numFmtId="164" fontId="6" fillId="3" borderId="3" xfId="0" applyFont="1" applyFill="1" applyBorder="1" applyAlignment="1">
      <alignment vertical="top" wrapText="1"/>
    </xf>
    <xf numFmtId="164" fontId="11" fillId="0" borderId="3" xfId="0" applyFont="1" applyFill="1" applyBorder="1" applyAlignment="1" applyProtection="1">
      <alignment wrapText="1"/>
      <protection locked="0"/>
    </xf>
    <xf numFmtId="164" fontId="11" fillId="0" borderId="3" xfId="0" applyFont="1" applyBorder="1" applyAlignment="1">
      <alignment/>
    </xf>
    <xf numFmtId="164" fontId="9" fillId="0" borderId="3" xfId="20" applyNumberFormat="1" applyFont="1" applyFill="1" applyBorder="1" applyAlignment="1" applyProtection="1">
      <alignment horizontal="center" vertical="top" wrapText="1"/>
      <protection/>
    </xf>
    <xf numFmtId="164" fontId="13" fillId="0" borderId="3" xfId="20" applyNumberFormat="1" applyFont="1" applyFill="1" applyBorder="1" applyAlignment="1" applyProtection="1">
      <alignment horizontal="center" vertical="top" wrapText="1"/>
      <protection/>
    </xf>
    <xf numFmtId="167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Font="1" applyFill="1" applyBorder="1" applyAlignment="1" applyProtection="1">
      <alignment horizontal="center" vertical="center" wrapText="1"/>
      <protection locked="0"/>
    </xf>
    <xf numFmtId="166" fontId="6" fillId="3" borderId="4" xfId="0" applyNumberFormat="1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left" vertical="center" wrapText="1"/>
    </xf>
    <xf numFmtId="164" fontId="11" fillId="0" borderId="3" xfId="0" applyFont="1" applyFill="1" applyBorder="1" applyAlignment="1">
      <alignment wrapText="1"/>
    </xf>
    <xf numFmtId="168" fontId="11" fillId="0" borderId="3" xfId="0" applyNumberFormat="1" applyFont="1" applyFill="1" applyBorder="1" applyAlignment="1" applyProtection="1">
      <alignment horizontal="left"/>
      <protection locked="0"/>
    </xf>
    <xf numFmtId="167" fontId="11" fillId="0" borderId="3" xfId="0" applyNumberFormat="1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horizontal="left"/>
      <protection locked="0"/>
    </xf>
    <xf numFmtId="164" fontId="11" fillId="0" borderId="3" xfId="0" applyFont="1" applyFill="1" applyBorder="1" applyAlignment="1" applyProtection="1">
      <alignment/>
      <protection locked="0"/>
    </xf>
    <xf numFmtId="167" fontId="6" fillId="0" borderId="3" xfId="0" applyNumberFormat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 applyProtection="1">
      <alignment horizontal="center" wrapText="1"/>
      <protection locked="0"/>
    </xf>
    <xf numFmtId="166" fontId="11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vertical="top" wrapText="1"/>
    </xf>
    <xf numFmtId="167" fontId="6" fillId="3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4" fontId="11" fillId="0" borderId="3" xfId="0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 applyProtection="1">
      <alignment/>
      <protection locked="0"/>
    </xf>
    <xf numFmtId="167" fontId="6" fillId="3" borderId="3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wrapText="1"/>
    </xf>
    <xf numFmtId="165" fontId="11" fillId="0" borderId="3" xfId="15" applyFont="1" applyFill="1" applyBorder="1" applyAlignment="1" applyProtection="1">
      <alignment horizontal="center" wrapText="1"/>
      <protection locked="0"/>
    </xf>
    <xf numFmtId="164" fontId="6" fillId="0" borderId="3" xfId="0" applyFont="1" applyFill="1" applyBorder="1" applyAlignment="1">
      <alignment horizontal="left" vertical="center" wrapText="1"/>
    </xf>
    <xf numFmtId="164" fontId="11" fillId="0" borderId="3" xfId="0" applyFont="1" applyFill="1" applyBorder="1" applyAlignment="1" applyProtection="1">
      <alignment horizontal="right"/>
      <protection locked="0"/>
    </xf>
    <xf numFmtId="164" fontId="11" fillId="0" borderId="3" xfId="0" applyFont="1" applyFill="1" applyBorder="1" applyAlignment="1" applyProtection="1">
      <alignment horizontal="right" wrapText="1"/>
      <protection locked="0"/>
    </xf>
    <xf numFmtId="164" fontId="11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wrapText="1"/>
    </xf>
    <xf numFmtId="164" fontId="11" fillId="0" borderId="6" xfId="0" applyFont="1" applyBorder="1" applyAlignment="1">
      <alignment/>
    </xf>
    <xf numFmtId="164" fontId="6" fillId="0" borderId="3" xfId="0" applyFont="1" applyFill="1" applyBorder="1" applyAlignment="1">
      <alignment vertical="top" wrapText="1"/>
    </xf>
    <xf numFmtId="164" fontId="11" fillId="0" borderId="3" xfId="0" applyFont="1" applyFill="1" applyBorder="1" applyAlignment="1">
      <alignment horizontal="left" wrapText="1"/>
    </xf>
    <xf numFmtId="164" fontId="11" fillId="0" borderId="3" xfId="0" applyFont="1" applyBorder="1" applyAlignment="1">
      <alignment horizontal="center"/>
    </xf>
    <xf numFmtId="164" fontId="11" fillId="0" borderId="0" xfId="0" applyFont="1" applyFill="1" applyBorder="1" applyAlignment="1">
      <alignment wrapText="1"/>
    </xf>
    <xf numFmtId="164" fontId="11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wrapText="1"/>
      <protection locked="0"/>
    </xf>
    <xf numFmtId="164" fontId="11" fillId="4" borderId="0" xfId="0" applyFont="1" applyFill="1" applyAlignment="1">
      <alignment/>
    </xf>
    <xf numFmtId="164" fontId="11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7" fillId="0" borderId="2" xfId="0" applyFont="1" applyBorder="1" applyAlignment="1">
      <alignment horizontal="center"/>
    </xf>
    <xf numFmtId="164" fontId="7" fillId="0" borderId="0" xfId="0" applyFont="1" applyAlignment="1">
      <alignment/>
    </xf>
    <xf numFmtId="164" fontId="11" fillId="4" borderId="0" xfId="0" applyFont="1" applyFill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6" fillId="4" borderId="0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textRotation="90" wrapText="1"/>
    </xf>
    <xf numFmtId="164" fontId="6" fillId="0" borderId="3" xfId="0" applyFont="1" applyFill="1" applyBorder="1" applyAlignment="1">
      <alignment horizontal="center" wrapText="1"/>
    </xf>
    <xf numFmtId="164" fontId="14" fillId="0" borderId="3" xfId="0" applyFont="1" applyFill="1" applyBorder="1" applyAlignment="1">
      <alignment horizontal="center" wrapText="1"/>
    </xf>
    <xf numFmtId="164" fontId="14" fillId="4" borderId="3" xfId="0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11" fillId="0" borderId="3" xfId="0" applyNumberFormat="1" applyFont="1" applyFill="1" applyBorder="1" applyAlignment="1">
      <alignment horizontal="center" vertical="center"/>
    </xf>
    <xf numFmtId="164" fontId="12" fillId="0" borderId="3" xfId="0" applyFont="1" applyBorder="1" applyAlignment="1">
      <alignment vertical="center" wrapText="1"/>
    </xf>
    <xf numFmtId="164" fontId="12" fillId="0" borderId="3" xfId="0" applyFont="1" applyBorder="1" applyAlignment="1">
      <alignment horizontal="center" vertical="center" wrapText="1"/>
    </xf>
    <xf numFmtId="164" fontId="11" fillId="4" borderId="3" xfId="0" applyFont="1" applyFill="1" applyBorder="1" applyAlignment="1" applyProtection="1">
      <alignment horizontal="center" vertical="center" wrapText="1"/>
      <protection locked="0"/>
    </xf>
    <xf numFmtId="169" fontId="11" fillId="0" borderId="7" xfId="0" applyNumberFormat="1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left" vertical="center" wrapText="1"/>
    </xf>
    <xf numFmtId="164" fontId="11" fillId="4" borderId="4" xfId="0" applyFont="1" applyFill="1" applyBorder="1" applyAlignment="1" applyProtection="1">
      <alignment horizontal="center" vertical="center" wrapText="1"/>
      <protection locked="0"/>
    </xf>
    <xf numFmtId="170" fontId="11" fillId="0" borderId="3" xfId="0" applyNumberFormat="1" applyFont="1" applyFill="1" applyBorder="1" applyAlignment="1">
      <alignment horizontal="center" vertical="center"/>
    </xf>
    <xf numFmtId="164" fontId="12" fillId="0" borderId="7" xfId="0" applyFont="1" applyBorder="1" applyAlignment="1">
      <alignment vertical="center" wrapText="1"/>
    </xf>
    <xf numFmtId="17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Alignment="1">
      <alignment vertical="top"/>
    </xf>
    <xf numFmtId="164" fontId="12" fillId="0" borderId="3" xfId="0" applyFont="1" applyFill="1" applyBorder="1" applyAlignment="1">
      <alignment horizontal="left" vertical="center" wrapText="1"/>
    </xf>
    <xf numFmtId="170" fontId="11" fillId="4" borderId="8" xfId="0" applyNumberFormat="1" applyFont="1" applyFill="1" applyBorder="1" applyAlignment="1" applyProtection="1">
      <alignment horizontal="center" vertical="center" wrapText="1"/>
      <protection locked="0"/>
    </xf>
    <xf numFmtId="170" fontId="11" fillId="0" borderId="0" xfId="0" applyNumberFormat="1" applyFont="1" applyFill="1" applyAlignment="1">
      <alignment/>
    </xf>
    <xf numFmtId="164" fontId="12" fillId="0" borderId="3" xfId="0" applyFont="1" applyFill="1" applyBorder="1" applyAlignment="1">
      <alignment vertical="center" wrapText="1"/>
    </xf>
    <xf numFmtId="164" fontId="12" fillId="0" borderId="8" xfId="0" applyFont="1" applyBorder="1" applyAlignment="1">
      <alignment vertical="center" wrapText="1"/>
    </xf>
    <xf numFmtId="170" fontId="11" fillId="4" borderId="5" xfId="0" applyNumberFormat="1" applyFont="1" applyFill="1" applyBorder="1" applyAlignment="1">
      <alignment horizontal="center" vertical="center"/>
    </xf>
    <xf numFmtId="164" fontId="12" fillId="0" borderId="8" xfId="0" applyFont="1" applyFill="1" applyBorder="1" applyAlignment="1">
      <alignment vertical="center" wrapText="1"/>
    </xf>
    <xf numFmtId="17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Font="1" applyBorder="1" applyAlignment="1">
      <alignment horizontal="center" vertical="center"/>
    </xf>
    <xf numFmtId="170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7" xfId="0" applyFont="1" applyFill="1" applyBorder="1" applyAlignment="1" applyProtection="1">
      <alignment horizontal="center" vertical="center" wrapText="1"/>
      <protection locked="0"/>
    </xf>
    <xf numFmtId="170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70" fontId="0" fillId="4" borderId="8" xfId="0" applyNumberFormat="1" applyFont="1" applyFill="1" applyBorder="1" applyAlignment="1" applyProtection="1">
      <alignment horizontal="center" vertical="center" wrapText="1"/>
      <protection locked="0"/>
    </xf>
    <xf numFmtId="172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>
      <alignment horizontal="center" vertical="center"/>
    </xf>
    <xf numFmtId="164" fontId="6" fillId="0" borderId="3" xfId="0" applyFont="1" applyFill="1" applyBorder="1" applyAlignment="1" applyProtection="1">
      <alignment horizontal="center" vertical="center" wrapText="1"/>
      <protection locked="0"/>
    </xf>
    <xf numFmtId="164" fontId="11" fillId="4" borderId="3" xfId="0" applyFont="1" applyFill="1" applyBorder="1" applyAlignment="1">
      <alignment horizontal="center" vertical="center" wrapText="1"/>
    </xf>
    <xf numFmtId="170" fontId="11" fillId="4" borderId="3" xfId="0" applyNumberFormat="1" applyFont="1" applyFill="1" applyBorder="1" applyAlignment="1">
      <alignment horizontal="center" vertical="center" wrapText="1"/>
    </xf>
    <xf numFmtId="170" fontId="11" fillId="0" borderId="3" xfId="0" applyNumberFormat="1" applyFont="1" applyFill="1" applyBorder="1" applyAlignment="1">
      <alignment horizontal="center" vertical="center" wrapText="1"/>
    </xf>
    <xf numFmtId="164" fontId="11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vertical="center" wrapText="1"/>
    </xf>
    <xf numFmtId="164" fontId="12" fillId="4" borderId="3" xfId="0" applyFont="1" applyFill="1" applyBorder="1" applyAlignment="1">
      <alignment horizontal="left" vertical="center" wrapText="1"/>
    </xf>
    <xf numFmtId="164" fontId="11" fillId="4" borderId="0" xfId="0" applyFont="1" applyFill="1" applyAlignment="1">
      <alignment horizontal="center"/>
    </xf>
    <xf numFmtId="170" fontId="11" fillId="4" borderId="7" xfId="0" applyNumberFormat="1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vertical="center" wrapText="1"/>
    </xf>
    <xf numFmtId="164" fontId="11" fillId="0" borderId="3" xfId="0" applyFont="1" applyFill="1" applyBorder="1" applyAlignment="1">
      <alignment horizontal="center"/>
    </xf>
    <xf numFmtId="164" fontId="12" fillId="0" borderId="8" xfId="0" applyFont="1" applyBorder="1" applyAlignment="1">
      <alignment horizontal="left" vertical="center" wrapText="1"/>
    </xf>
    <xf numFmtId="164" fontId="11" fillId="0" borderId="4" xfId="0" applyFont="1" applyBorder="1" applyAlignment="1">
      <alignment horizontal="center"/>
    </xf>
    <xf numFmtId="164" fontId="12" fillId="0" borderId="7" xfId="0" applyFont="1" applyBorder="1" applyAlignment="1">
      <alignment horizontal="left" vertical="center" wrapText="1"/>
    </xf>
    <xf numFmtId="164" fontId="11" fillId="0" borderId="3" xfId="0" applyFont="1" applyBorder="1" applyAlignment="1">
      <alignment/>
    </xf>
    <xf numFmtId="164" fontId="12" fillId="0" borderId="8" xfId="0" applyFont="1" applyFill="1" applyBorder="1" applyAlignment="1">
      <alignment horizontal="left" vertical="center" wrapText="1"/>
    </xf>
    <xf numFmtId="164" fontId="11" fillId="0" borderId="3" xfId="0" applyFont="1" applyFill="1" applyBorder="1" applyAlignment="1">
      <alignment/>
    </xf>
    <xf numFmtId="164" fontId="11" fillId="0" borderId="0" xfId="0" applyFont="1" applyBorder="1" applyAlignment="1">
      <alignment/>
    </xf>
    <xf numFmtId="172" fontId="11" fillId="0" borderId="3" xfId="0" applyNumberFormat="1" applyFont="1" applyFill="1" applyBorder="1" applyAlignment="1">
      <alignment horizontal="center" vertical="center"/>
    </xf>
    <xf numFmtId="170" fontId="11" fillId="4" borderId="3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/>
    </xf>
    <xf numFmtId="172" fontId="11" fillId="0" borderId="7" xfId="0" applyNumberFormat="1" applyFont="1" applyFill="1" applyBorder="1" applyAlignment="1">
      <alignment horizontal="center" vertical="center"/>
    </xf>
    <xf numFmtId="170" fontId="11" fillId="0" borderId="7" xfId="0" applyNumberFormat="1" applyFont="1" applyFill="1" applyBorder="1" applyAlignment="1">
      <alignment horizontal="center" vertical="center"/>
    </xf>
    <xf numFmtId="164" fontId="11" fillId="4" borderId="3" xfId="0" applyFont="1" applyFill="1" applyBorder="1" applyAlignment="1">
      <alignment/>
    </xf>
    <xf numFmtId="164" fontId="11" fillId="4" borderId="3" xfId="0" applyFont="1" applyFill="1" applyBorder="1" applyAlignment="1">
      <alignment vertical="top" wrapText="1"/>
    </xf>
    <xf numFmtId="164" fontId="12" fillId="4" borderId="9" xfId="0" applyFont="1" applyFill="1" applyBorder="1" applyAlignment="1">
      <alignment vertical="center" wrapText="1"/>
    </xf>
    <xf numFmtId="164" fontId="7" fillId="0" borderId="1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67" fontId="16" fillId="0" borderId="4" xfId="0" applyNumberFormat="1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3" xfId="0" applyFont="1" applyBorder="1" applyAlignment="1">
      <alignment/>
    </xf>
    <xf numFmtId="164" fontId="11" fillId="0" borderId="4" xfId="0" applyFont="1" applyBorder="1" applyAlignment="1">
      <alignment/>
    </xf>
    <xf numFmtId="164" fontId="6" fillId="0" borderId="3" xfId="0" applyFont="1" applyBorder="1" applyAlignment="1">
      <alignment/>
    </xf>
    <xf numFmtId="164" fontId="11" fillId="0" borderId="3" xfId="0" applyFont="1" applyFill="1" applyBorder="1" applyAlignment="1">
      <alignment horizontal="center"/>
    </xf>
    <xf numFmtId="164" fontId="11" fillId="0" borderId="3" xfId="0" applyFont="1" applyFill="1" applyBorder="1" applyAlignment="1" applyProtection="1">
      <alignment horizontal="center"/>
      <protection locked="0"/>
    </xf>
    <xf numFmtId="164" fontId="6" fillId="0" borderId="3" xfId="0" applyFont="1" applyFill="1" applyBorder="1" applyAlignment="1">
      <alignment/>
    </xf>
    <xf numFmtId="164" fontId="6" fillId="0" borderId="3" xfId="0" applyFont="1" applyFill="1" applyBorder="1" applyAlignment="1">
      <alignment horizontal="center"/>
    </xf>
    <xf numFmtId="164" fontId="11" fillId="0" borderId="3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0" xfId="0" applyFill="1" applyAlignment="1">
      <alignment/>
    </xf>
    <xf numFmtId="164" fontId="6" fillId="0" borderId="4" xfId="0" applyFont="1" applyFill="1" applyBorder="1" applyAlignment="1">
      <alignment horizontal="center"/>
    </xf>
    <xf numFmtId="164" fontId="17" fillId="0" borderId="3" xfId="0" applyFont="1" applyFill="1" applyBorder="1" applyAlignment="1">
      <alignment horizontal="center"/>
    </xf>
    <xf numFmtId="164" fontId="17" fillId="0" borderId="3" xfId="0" applyFont="1" applyFill="1" applyBorder="1" applyAlignment="1">
      <alignment horizontal="center"/>
    </xf>
    <xf numFmtId="164" fontId="11" fillId="0" borderId="3" xfId="0" applyFont="1" applyFill="1" applyBorder="1" applyAlignment="1">
      <alignment horizontal="left" vertical="center"/>
    </xf>
    <xf numFmtId="164" fontId="11" fillId="0" borderId="4" xfId="0" applyFont="1" applyFill="1" applyBorder="1" applyAlignment="1" applyProtection="1">
      <alignment horizontal="center"/>
      <protection locked="0"/>
    </xf>
    <xf numFmtId="164" fontId="18" fillId="0" borderId="3" xfId="0" applyFont="1" applyFill="1" applyBorder="1" applyAlignment="1" applyProtection="1">
      <alignment/>
      <protection locked="0"/>
    </xf>
    <xf numFmtId="164" fontId="11" fillId="0" borderId="0" xfId="0" applyFont="1" applyBorder="1" applyAlignment="1">
      <alignment horizontal="left" indent="1"/>
    </xf>
    <xf numFmtId="164" fontId="18" fillId="0" borderId="0" xfId="0" applyFont="1" applyFill="1" applyBorder="1" applyAlignment="1" applyProtection="1">
      <alignment/>
      <protection locked="0"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18" fillId="0" borderId="0" xfId="0" applyFont="1" applyFill="1" applyBorder="1" applyAlignment="1" applyProtection="1">
      <alignment/>
      <protection locked="0"/>
    </xf>
    <xf numFmtId="164" fontId="11" fillId="0" borderId="0" xfId="0" applyFont="1" applyFill="1" applyBorder="1" applyAlignment="1">
      <alignment horizontal="left" indent="1"/>
    </xf>
    <xf numFmtId="164" fontId="11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0" borderId="0" xfId="0" applyAlignment="1">
      <alignment wrapText="1"/>
    </xf>
    <xf numFmtId="164" fontId="11" fillId="0" borderId="0" xfId="0" applyFont="1" applyAlignment="1">
      <alignment wrapText="1"/>
    </xf>
    <xf numFmtId="164" fontId="11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 horizontal="left" wrapText="1"/>
    </xf>
    <xf numFmtId="164" fontId="11" fillId="0" borderId="3" xfId="0" applyFont="1" applyBorder="1" applyAlignment="1">
      <alignment vertical="top" wrapText="1"/>
    </xf>
    <xf numFmtId="164" fontId="11" fillId="0" borderId="3" xfId="0" applyFont="1" applyBorder="1" applyAlignment="1">
      <alignment horizontal="center" vertical="top" wrapText="1"/>
    </xf>
    <xf numFmtId="164" fontId="19" fillId="0" borderId="0" xfId="0" applyFont="1" applyFill="1" applyAlignment="1">
      <alignment wrapText="1"/>
    </xf>
    <xf numFmtId="164" fontId="11" fillId="0" borderId="3" xfId="0" applyFont="1" applyBorder="1" applyAlignment="1">
      <alignment wrapText="1"/>
    </xf>
    <xf numFmtId="164" fontId="0" fillId="0" borderId="0" xfId="0" applyBorder="1" applyAlignment="1">
      <alignment wrapText="1"/>
    </xf>
    <xf numFmtId="164" fontId="7" fillId="0" borderId="0" xfId="0" applyFont="1" applyFill="1" applyBorder="1" applyAlignment="1">
      <alignment wrapText="1"/>
    </xf>
    <xf numFmtId="164" fontId="20" fillId="0" borderId="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4" fontId="6" fillId="2" borderId="3" xfId="0" applyFont="1" applyFill="1" applyBorder="1" applyAlignment="1">
      <alignment horizontal="center"/>
    </xf>
    <xf numFmtId="164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 applyProtection="1">
      <alignment horizontal="center"/>
      <protection locked="0"/>
    </xf>
    <xf numFmtId="170" fontId="11" fillId="0" borderId="3" xfId="0" applyNumberFormat="1" applyFont="1" applyFill="1" applyBorder="1" applyAlignment="1" applyProtection="1">
      <alignment horizontal="center"/>
      <protection locked="0"/>
    </xf>
    <xf numFmtId="166" fontId="11" fillId="0" borderId="3" xfId="0" applyNumberFormat="1" applyFont="1" applyFill="1" applyBorder="1" applyAlignment="1">
      <alignment horizontal="left"/>
    </xf>
    <xf numFmtId="164" fontId="7" fillId="0" borderId="3" xfId="0" applyFont="1" applyFill="1" applyBorder="1" applyAlignment="1">
      <alignment horizontal="left" wrapText="1"/>
    </xf>
    <xf numFmtId="164" fontId="6" fillId="2" borderId="3" xfId="0" applyFont="1" applyFill="1" applyBorder="1" applyAlignment="1">
      <alignment horizontal="left"/>
    </xf>
    <xf numFmtId="164" fontId="6" fillId="0" borderId="3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12" fillId="0" borderId="3" xfId="0" applyFont="1" applyFill="1" applyBorder="1" applyAlignment="1">
      <alignment/>
    </xf>
    <xf numFmtId="164" fontId="21" fillId="0" borderId="0" xfId="0" applyFont="1" applyAlignment="1">
      <alignment/>
    </xf>
    <xf numFmtId="164" fontId="6" fillId="0" borderId="3" xfId="0" applyFont="1" applyBorder="1" applyAlignment="1">
      <alignment horizontal="center"/>
    </xf>
    <xf numFmtId="164" fontId="11" fillId="0" borderId="3" xfId="0" applyFont="1" applyBorder="1" applyAlignment="1">
      <alignment horizontal="center" wrapText="1"/>
    </xf>
    <xf numFmtId="166" fontId="11" fillId="0" borderId="3" xfId="0" applyNumberFormat="1" applyFont="1" applyBorder="1" applyAlignment="1">
      <alignment horizontal="center"/>
    </xf>
    <xf numFmtId="164" fontId="11" fillId="0" borderId="3" xfId="0" applyFont="1" applyBorder="1" applyAlignment="1">
      <alignment horizontal="left" indent="1"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6" fillId="0" borderId="4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/>
    </xf>
    <xf numFmtId="164" fontId="11" fillId="2" borderId="4" xfId="0" applyFont="1" applyFill="1" applyBorder="1" applyAlignment="1">
      <alignment/>
    </xf>
    <xf numFmtId="170" fontId="11" fillId="2" borderId="3" xfId="0" applyNumberFormat="1" applyFont="1" applyFill="1" applyBorder="1" applyAlignment="1">
      <alignment/>
    </xf>
    <xf numFmtId="164" fontId="11" fillId="0" borderId="3" xfId="0" applyFont="1" applyBorder="1" applyAlignment="1">
      <alignment horizontal="left"/>
    </xf>
    <xf numFmtId="170" fontId="11" fillId="0" borderId="3" xfId="0" applyNumberFormat="1" applyFont="1" applyFill="1" applyBorder="1" applyAlignment="1" applyProtection="1">
      <alignment/>
      <protection locked="0"/>
    </xf>
    <xf numFmtId="170" fontId="11" fillId="0" borderId="3" xfId="0" applyNumberFormat="1" applyFont="1" applyFill="1" applyBorder="1" applyAlignment="1">
      <alignment/>
    </xf>
    <xf numFmtId="170" fontId="11" fillId="0" borderId="3" xfId="0" applyNumberFormat="1" applyFont="1" applyBorder="1" applyAlignment="1">
      <alignment/>
    </xf>
    <xf numFmtId="170" fontId="11" fillId="0" borderId="4" xfId="0" applyNumberFormat="1" applyFont="1" applyBorder="1" applyAlignment="1">
      <alignment/>
    </xf>
    <xf numFmtId="170" fontId="11" fillId="0" borderId="3" xfId="0" applyNumberFormat="1" applyFont="1" applyBorder="1" applyAlignment="1">
      <alignment horizontal="right" vertical="center"/>
    </xf>
    <xf numFmtId="170" fontId="11" fillId="0" borderId="4" xfId="0" applyNumberFormat="1" applyFont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center"/>
    </xf>
    <xf numFmtId="170" fontId="11" fillId="2" borderId="4" xfId="0" applyNumberFormat="1" applyFont="1" applyFill="1" applyBorder="1" applyAlignment="1">
      <alignment/>
    </xf>
    <xf numFmtId="170" fontId="11" fillId="0" borderId="4" xfId="0" applyNumberFormat="1" applyFont="1" applyFill="1" applyBorder="1" applyAlignment="1">
      <alignment/>
    </xf>
    <xf numFmtId="170" fontId="12" fillId="0" borderId="0" xfId="0" applyNumberFormat="1" applyFont="1" applyAlignment="1">
      <alignment/>
    </xf>
    <xf numFmtId="164" fontId="11" fillId="0" borderId="1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 wrapText="1"/>
    </xf>
    <xf numFmtId="170" fontId="11" fillId="0" borderId="3" xfId="0" applyNumberFormat="1" applyFont="1" applyFill="1" applyBorder="1" applyAlignment="1" applyProtection="1">
      <alignment horizontal="right"/>
      <protection locked="0"/>
    </xf>
    <xf numFmtId="170" fontId="11" fillId="0" borderId="4" xfId="0" applyNumberFormat="1" applyFont="1" applyFill="1" applyBorder="1" applyAlignment="1" applyProtection="1">
      <alignment horizontal="right"/>
      <protection locked="0"/>
    </xf>
    <xf numFmtId="170" fontId="11" fillId="0" borderId="3" xfId="0" applyNumberFormat="1" applyFont="1" applyFill="1" applyBorder="1" applyAlignment="1">
      <alignment horizontal="right"/>
    </xf>
    <xf numFmtId="164" fontId="11" fillId="0" borderId="4" xfId="0" applyFont="1" applyFill="1" applyBorder="1" applyAlignment="1" applyProtection="1">
      <alignment horizontal="right"/>
      <protection locked="0"/>
    </xf>
    <xf numFmtId="173" fontId="11" fillId="0" borderId="3" xfId="0" applyNumberFormat="1" applyFont="1" applyFill="1" applyBorder="1" applyAlignment="1" applyProtection="1">
      <alignment horizontal="right"/>
      <protection locked="0"/>
    </xf>
    <xf numFmtId="173" fontId="11" fillId="0" borderId="4" xfId="0" applyNumberFormat="1" applyFont="1" applyFill="1" applyBorder="1" applyAlignment="1" applyProtection="1">
      <alignment horizontal="right"/>
      <protection locked="0"/>
    </xf>
    <xf numFmtId="173" fontId="11" fillId="0" borderId="3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 applyProtection="1">
      <alignment/>
      <protection locked="0"/>
    </xf>
    <xf numFmtId="174" fontId="11" fillId="0" borderId="3" xfId="23" applyNumberFormat="1" applyFont="1" applyFill="1" applyBorder="1" applyAlignment="1" applyProtection="1">
      <alignment horizontal="right"/>
      <protection locked="0"/>
    </xf>
    <xf numFmtId="174" fontId="11" fillId="0" borderId="4" xfId="23" applyNumberFormat="1" applyFont="1" applyFill="1" applyBorder="1" applyAlignment="1" applyProtection="1">
      <alignment horizontal="right"/>
      <protection locked="0"/>
    </xf>
    <xf numFmtId="164" fontId="14" fillId="0" borderId="0" xfId="0" applyFont="1" applyFill="1" applyBorder="1" applyAlignment="1">
      <alignment horizontal="right"/>
    </xf>
    <xf numFmtId="164" fontId="14" fillId="0" borderId="0" xfId="0" applyFont="1" applyFill="1" applyBorder="1" applyAlignment="1">
      <alignment/>
    </xf>
    <xf numFmtId="164" fontId="14" fillId="0" borderId="0" xfId="0" applyFont="1" applyFill="1" applyAlignment="1">
      <alignment/>
    </xf>
    <xf numFmtId="170" fontId="2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0" fontId="23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70" fontId="19" fillId="0" borderId="0" xfId="0" applyNumberFormat="1" applyFont="1" applyFill="1" applyAlignment="1">
      <alignment/>
    </xf>
    <xf numFmtId="164" fontId="7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wrapText="1"/>
    </xf>
    <xf numFmtId="164" fontId="24" fillId="0" borderId="3" xfId="0" applyFont="1" applyFill="1" applyBorder="1" applyAlignment="1">
      <alignment horizontal="center"/>
    </xf>
    <xf numFmtId="164" fontId="24" fillId="0" borderId="4" xfId="0" applyFon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6" fillId="5" borderId="3" xfId="0" applyFont="1" applyFill="1" applyBorder="1" applyAlignment="1">
      <alignment horizontal="center"/>
    </xf>
    <xf numFmtId="164" fontId="6" fillId="5" borderId="3" xfId="0" applyFont="1" applyFill="1" applyBorder="1" applyAlignment="1">
      <alignment wrapText="1"/>
    </xf>
    <xf numFmtId="170" fontId="6" fillId="5" borderId="3" xfId="0" applyNumberFormat="1" applyFont="1" applyFill="1" applyBorder="1" applyAlignment="1">
      <alignment/>
    </xf>
    <xf numFmtId="175" fontId="6" fillId="5" borderId="3" xfId="0" applyNumberFormat="1" applyFont="1" applyFill="1" applyBorder="1" applyAlignment="1">
      <alignment/>
    </xf>
    <xf numFmtId="175" fontId="6" fillId="5" borderId="4" xfId="0" applyNumberFormat="1" applyFont="1" applyFill="1" applyBorder="1" applyAlignment="1">
      <alignment/>
    </xf>
    <xf numFmtId="175" fontId="6" fillId="6" borderId="3" xfId="0" applyNumberFormat="1" applyFont="1" applyFill="1" applyBorder="1" applyAlignment="1">
      <alignment/>
    </xf>
    <xf numFmtId="164" fontId="6" fillId="2" borderId="3" xfId="0" applyFont="1" applyFill="1" applyBorder="1" applyAlignment="1">
      <alignment wrapText="1"/>
    </xf>
    <xf numFmtId="170" fontId="6" fillId="2" borderId="3" xfId="0" applyNumberFormat="1" applyFont="1" applyFill="1" applyBorder="1" applyAlignment="1">
      <alignment/>
    </xf>
    <xf numFmtId="175" fontId="6" fillId="2" borderId="3" xfId="0" applyNumberFormat="1" applyFont="1" applyFill="1" applyBorder="1" applyAlignment="1">
      <alignment/>
    </xf>
    <xf numFmtId="175" fontId="6" fillId="2" borderId="4" xfId="0" applyNumberFormat="1" applyFont="1" applyFill="1" applyBorder="1" applyAlignment="1">
      <alignment/>
    </xf>
    <xf numFmtId="170" fontId="6" fillId="0" borderId="3" xfId="0" applyNumberFormat="1" applyFont="1" applyFill="1" applyBorder="1" applyAlignment="1" applyProtection="1">
      <alignment/>
      <protection locked="0"/>
    </xf>
    <xf numFmtId="175" fontId="6" fillId="0" borderId="3" xfId="0" applyNumberFormat="1" applyFont="1" applyFill="1" applyBorder="1" applyAlignment="1">
      <alignment/>
    </xf>
    <xf numFmtId="175" fontId="6" fillId="0" borderId="4" xfId="0" applyNumberFormat="1" applyFont="1" applyFill="1" applyBorder="1" applyAlignment="1">
      <alignment/>
    </xf>
    <xf numFmtId="170" fontId="11" fillId="7" borderId="3" xfId="0" applyNumberFormat="1" applyFont="1" applyFill="1" applyBorder="1" applyAlignment="1" applyProtection="1">
      <alignment/>
      <protection locked="0"/>
    </xf>
    <xf numFmtId="175" fontId="11" fillId="7" borderId="3" xfId="0" applyNumberFormat="1" applyFont="1" applyFill="1" applyBorder="1" applyAlignment="1">
      <alignment/>
    </xf>
    <xf numFmtId="170" fontId="11" fillId="7" borderId="3" xfId="0" applyNumberFormat="1" applyFont="1" applyFill="1" applyBorder="1" applyAlignment="1">
      <alignment/>
    </xf>
    <xf numFmtId="170" fontId="11" fillId="7" borderId="3" xfId="19" applyNumberFormat="1" applyFont="1" applyFill="1" applyBorder="1" applyAlignment="1" applyProtection="1">
      <alignment/>
      <protection/>
    </xf>
    <xf numFmtId="175" fontId="11" fillId="7" borderId="4" xfId="0" applyNumberFormat="1" applyFont="1" applyFill="1" applyBorder="1" applyAlignment="1">
      <alignment/>
    </xf>
    <xf numFmtId="170" fontId="11" fillId="8" borderId="3" xfId="0" applyNumberFormat="1" applyFont="1" applyFill="1" applyBorder="1" applyAlignment="1">
      <alignment/>
    </xf>
    <xf numFmtId="175" fontId="11" fillId="8" borderId="3" xfId="0" applyNumberFormat="1" applyFont="1" applyFill="1" applyBorder="1" applyAlignment="1">
      <alignment/>
    </xf>
    <xf numFmtId="164" fontId="11" fillId="8" borderId="3" xfId="0" applyFont="1" applyFill="1" applyBorder="1" applyAlignment="1">
      <alignment/>
    </xf>
    <xf numFmtId="170" fontId="11" fillId="8" borderId="3" xfId="19" applyNumberFormat="1" applyFont="1" applyFill="1" applyBorder="1" applyAlignment="1" applyProtection="1">
      <alignment/>
      <protection/>
    </xf>
    <xf numFmtId="170" fontId="6" fillId="8" borderId="3" xfId="0" applyNumberFormat="1" applyFont="1" applyFill="1" applyBorder="1" applyAlignment="1">
      <alignment/>
    </xf>
    <xf numFmtId="175" fontId="6" fillId="8" borderId="3" xfId="0" applyNumberFormat="1" applyFont="1" applyFill="1" applyBorder="1" applyAlignment="1">
      <alignment/>
    </xf>
    <xf numFmtId="170" fontId="6" fillId="2" borderId="3" xfId="0" applyNumberFormat="1" applyFont="1" applyFill="1" applyBorder="1" applyAlignment="1" applyProtection="1">
      <alignment/>
      <protection locked="0"/>
    </xf>
    <xf numFmtId="170" fontId="6" fillId="0" borderId="3" xfId="0" applyNumberFormat="1" applyFont="1" applyFill="1" applyBorder="1" applyAlignment="1">
      <alignment/>
    </xf>
    <xf numFmtId="175" fontId="11" fillId="0" borderId="3" xfId="0" applyNumberFormat="1" applyFont="1" applyFill="1" applyBorder="1" applyAlignment="1">
      <alignment/>
    </xf>
    <xf numFmtId="164" fontId="11" fillId="0" borderId="3" xfId="0" applyFont="1" applyFill="1" applyBorder="1" applyAlignment="1">
      <alignment/>
    </xf>
    <xf numFmtId="164" fontId="27" fillId="0" borderId="3" xfId="0" applyFont="1" applyFill="1" applyBorder="1" applyAlignment="1">
      <alignment wrapText="1"/>
    </xf>
    <xf numFmtId="170" fontId="11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Alignment="1">
      <alignment horizontal="center"/>
    </xf>
    <xf numFmtId="164" fontId="12" fillId="0" borderId="2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wrapText="1"/>
    </xf>
    <xf numFmtId="164" fontId="28" fillId="0" borderId="0" xfId="0" applyFont="1" applyAlignment="1">
      <alignment horizontal="left" wrapText="1"/>
    </xf>
    <xf numFmtId="164" fontId="28" fillId="0" borderId="0" xfId="0" applyFont="1" applyAlignment="1">
      <alignment/>
    </xf>
    <xf numFmtId="164" fontId="29" fillId="0" borderId="0" xfId="0" applyFont="1" applyAlignment="1">
      <alignment wrapText="1"/>
    </xf>
    <xf numFmtId="164" fontId="14" fillId="0" borderId="1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12" fillId="0" borderId="3" xfId="0" applyFont="1" applyFill="1" applyBorder="1" applyAlignment="1">
      <alignment horizontal="center" wrapText="1"/>
    </xf>
    <xf numFmtId="164" fontId="12" fillId="0" borderId="3" xfId="0" applyFont="1" applyFill="1" applyBorder="1" applyAlignment="1">
      <alignment horizontal="left" wrapText="1"/>
    </xf>
    <xf numFmtId="167" fontId="12" fillId="0" borderId="3" xfId="0" applyNumberFormat="1" applyFont="1" applyBorder="1" applyAlignment="1">
      <alignment horizontal="center" wrapText="1"/>
    </xf>
    <xf numFmtId="170" fontId="12" fillId="0" borderId="3" xfId="0" applyNumberFormat="1" applyFont="1" applyFill="1" applyBorder="1" applyAlignment="1" applyProtection="1">
      <alignment horizontal="right" wrapText="1"/>
      <protection locked="0"/>
    </xf>
    <xf numFmtId="171" fontId="12" fillId="0" borderId="3" xfId="0" applyNumberFormat="1" applyFont="1" applyFill="1" applyBorder="1" applyAlignment="1" applyProtection="1">
      <alignment horizontal="right" wrapText="1"/>
      <protection locked="0"/>
    </xf>
    <xf numFmtId="164" fontId="0" fillId="0" borderId="3" xfId="0" applyFont="1" applyFill="1" applyBorder="1" applyAlignment="1">
      <alignment wrapText="1"/>
    </xf>
    <xf numFmtId="164" fontId="12" fillId="0" borderId="3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70" fontId="12" fillId="0" borderId="3" xfId="0" applyNumberFormat="1" applyFont="1" applyFill="1" applyBorder="1" applyAlignment="1" applyProtection="1">
      <alignment horizontal="right"/>
      <protection locked="0"/>
    </xf>
    <xf numFmtId="171" fontId="12" fillId="0" borderId="3" xfId="0" applyNumberFormat="1" applyFont="1" applyFill="1" applyBorder="1" applyAlignment="1" applyProtection="1">
      <alignment horizontal="right"/>
      <protection locked="0"/>
    </xf>
    <xf numFmtId="164" fontId="0" fillId="0" borderId="3" xfId="0" applyFont="1" applyFill="1" applyBorder="1" applyAlignment="1">
      <alignment/>
    </xf>
    <xf numFmtId="164" fontId="0" fillId="0" borderId="0" xfId="0" applyAlignment="1">
      <alignment/>
    </xf>
    <xf numFmtId="164" fontId="11" fillId="0" borderId="0" xfId="0" applyFont="1" applyFill="1" applyBorder="1" applyAlignment="1" applyProtection="1">
      <alignment/>
      <protection locked="0"/>
    </xf>
    <xf numFmtId="169" fontId="11" fillId="0" borderId="0" xfId="0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 wrapText="1"/>
    </xf>
    <xf numFmtId="164" fontId="6" fillId="0" borderId="0" xfId="0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7" fontId="11" fillId="0" borderId="0" xfId="0" applyNumberFormat="1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3" xfId="22"/>
    <cellStyle name="Финансовый 2" xfId="23"/>
    <cellStyle name="Финансовый 2 2" xfId="24"/>
    <cellStyle name="Финансовый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gnogorsk@socmurman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6:O25"/>
  <sheetViews>
    <sheetView zoomScaleSheetLayoutView="190" workbookViewId="0" topLeftCell="B1">
      <selection activeCell="I31" activeCellId="1" sqref="A74:J74 I31"/>
    </sheetView>
  </sheetViews>
  <sheetFormatPr defaultColWidth="9.00390625" defaultRowHeight="12.75"/>
  <cols>
    <col min="1" max="8" width="9.375" style="1" customWidth="1"/>
    <col min="9" max="9" width="15.50390625" style="1" customWidth="1"/>
    <col min="10" max="15" width="9.375" style="2" customWidth="1"/>
    <col min="16" max="16384" width="9.375" style="1" customWidth="1"/>
  </cols>
  <sheetData>
    <row r="6" spans="2:11" ht="44.25" customHeight="1">
      <c r="B6" s="3" t="s">
        <v>0</v>
      </c>
      <c r="C6" s="3"/>
      <c r="D6" s="3"/>
      <c r="E6" s="3"/>
      <c r="F6" s="3"/>
      <c r="G6" s="3"/>
      <c r="H6" s="3"/>
      <c r="I6" s="3"/>
      <c r="J6" s="4"/>
      <c r="K6" s="4"/>
    </row>
    <row r="8" spans="2:11" ht="33.75" customHeight="1">
      <c r="B8" s="5" t="s">
        <v>1</v>
      </c>
      <c r="C8" s="5"/>
      <c r="D8" s="5"/>
      <c r="E8" s="5"/>
      <c r="F8" s="5"/>
      <c r="G8" s="5"/>
      <c r="H8" s="5"/>
      <c r="I8" s="5"/>
      <c r="J8" s="6"/>
      <c r="K8" s="6"/>
    </row>
    <row r="9" spans="2:15" s="7" customFormat="1" ht="12.75">
      <c r="B9" s="8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</row>
    <row r="10" spans="2:9" ht="12.75">
      <c r="B10" s="11" t="s">
        <v>2</v>
      </c>
      <c r="C10" s="11"/>
      <c r="D10" s="11"/>
      <c r="E10" s="11"/>
      <c r="F10" s="11"/>
      <c r="G10" s="11"/>
      <c r="H10" s="11"/>
      <c r="I10" s="11"/>
    </row>
    <row r="13" ht="12.75">
      <c r="B13" s="1" t="s">
        <v>3</v>
      </c>
    </row>
    <row r="14" spans="2:11" ht="12.75">
      <c r="B14" s="12" t="s">
        <v>4</v>
      </c>
      <c r="C14" s="13" t="s">
        <v>5</v>
      </c>
      <c r="D14" s="13"/>
      <c r="E14" s="13"/>
      <c r="F14" s="13"/>
      <c r="G14" s="13"/>
      <c r="H14" s="13"/>
      <c r="I14" s="13"/>
      <c r="J14" s="14"/>
      <c r="K14" s="14"/>
    </row>
    <row r="15" spans="2:11" ht="12.75">
      <c r="B15" s="12" t="s">
        <v>6</v>
      </c>
      <c r="C15" s="13" t="s">
        <v>7</v>
      </c>
      <c r="D15" s="13"/>
      <c r="E15" s="13"/>
      <c r="F15" s="13"/>
      <c r="G15" s="13"/>
      <c r="H15" s="13"/>
      <c r="I15" s="13"/>
      <c r="J15" s="14"/>
      <c r="K15" s="14"/>
    </row>
    <row r="16" spans="2:11" ht="12.75">
      <c r="B16" s="12" t="s">
        <v>8</v>
      </c>
      <c r="C16" s="13" t="s">
        <v>9</v>
      </c>
      <c r="D16" s="13"/>
      <c r="E16" s="13"/>
      <c r="F16" s="13"/>
      <c r="G16" s="13"/>
      <c r="H16" s="13"/>
      <c r="I16" s="13"/>
      <c r="J16" s="14"/>
      <c r="K16" s="14"/>
    </row>
    <row r="17" spans="2:11" ht="12.75">
      <c r="B17" s="12" t="s">
        <v>10</v>
      </c>
      <c r="C17" s="13" t="s">
        <v>11</v>
      </c>
      <c r="D17" s="13"/>
      <c r="E17" s="13"/>
      <c r="F17" s="13"/>
      <c r="G17" s="13"/>
      <c r="H17" s="13"/>
      <c r="I17" s="13"/>
      <c r="J17" s="14"/>
      <c r="K17" s="14"/>
    </row>
    <row r="18" spans="2:11" ht="12.75">
      <c r="B18" s="12" t="s">
        <v>12</v>
      </c>
      <c r="C18" s="13" t="s">
        <v>13</v>
      </c>
      <c r="D18" s="13"/>
      <c r="E18" s="13"/>
      <c r="F18" s="13"/>
      <c r="G18" s="13"/>
      <c r="H18" s="13"/>
      <c r="I18" s="13"/>
      <c r="J18" s="14"/>
      <c r="K18" s="14"/>
    </row>
    <row r="19" spans="2:12" ht="12.75">
      <c r="B19" s="12" t="s">
        <v>14</v>
      </c>
      <c r="C19" s="13" t="s">
        <v>15</v>
      </c>
      <c r="D19" s="13"/>
      <c r="E19" s="13"/>
      <c r="F19" s="13"/>
      <c r="G19" s="13"/>
      <c r="H19" s="13"/>
      <c r="I19" s="13"/>
      <c r="J19" s="9"/>
      <c r="K19" s="9"/>
      <c r="L19" s="9"/>
    </row>
    <row r="20" spans="2:11" ht="12.75">
      <c r="B20" s="12" t="s">
        <v>16</v>
      </c>
      <c r="C20" s="13" t="s">
        <v>17</v>
      </c>
      <c r="D20" s="13"/>
      <c r="E20" s="13"/>
      <c r="F20" s="13"/>
      <c r="G20" s="13"/>
      <c r="H20" s="13"/>
      <c r="I20" s="13"/>
      <c r="J20" s="14"/>
      <c r="K20" s="14"/>
    </row>
    <row r="21" spans="2:11" ht="12.75">
      <c r="B21" s="12" t="s">
        <v>18</v>
      </c>
      <c r="C21" s="13" t="s">
        <v>19</v>
      </c>
      <c r="D21" s="13"/>
      <c r="E21" s="13"/>
      <c r="F21" s="13"/>
      <c r="G21" s="13"/>
      <c r="H21" s="13"/>
      <c r="I21" s="13"/>
      <c r="J21" s="14"/>
      <c r="K21" s="14"/>
    </row>
    <row r="22" spans="2:11" ht="12.75">
      <c r="B22" s="12" t="s">
        <v>20</v>
      </c>
      <c r="C22" s="13" t="s">
        <v>21</v>
      </c>
      <c r="D22" s="13"/>
      <c r="E22" s="13"/>
      <c r="F22" s="13"/>
      <c r="G22" s="13"/>
      <c r="H22" s="13"/>
      <c r="I22" s="13"/>
      <c r="J22" s="15"/>
      <c r="K22" s="15"/>
    </row>
    <row r="23" spans="2:11" ht="12.75">
      <c r="B23" s="12" t="s">
        <v>22</v>
      </c>
      <c r="C23" s="13" t="s">
        <v>23</v>
      </c>
      <c r="D23" s="13"/>
      <c r="E23" s="13"/>
      <c r="F23" s="13"/>
      <c r="G23" s="13"/>
      <c r="H23" s="13"/>
      <c r="I23" s="13"/>
      <c r="J23" s="16"/>
      <c r="K23" s="16"/>
    </row>
    <row r="24" ht="12.75">
      <c r="B24" s="12"/>
    </row>
    <row r="25" ht="12.75">
      <c r="B25" s="12"/>
    </row>
  </sheetData>
  <sheetProtection selectLockedCells="1" selectUnlockedCells="1"/>
  <mergeCells count="13">
    <mergeCell ref="B6:I6"/>
    <mergeCell ref="B8:I8"/>
    <mergeCell ref="B10:I10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</mergeCells>
  <hyperlinks>
    <hyperlink ref="C14" location="Общие сведения!C6" display="Общие сведения"/>
    <hyperlink ref="C15" location="Общие сведения!C6" display="Сведения об оказании государственных услуг "/>
    <hyperlink ref="C16" location="Контингент!D30" display="Сведения о  персонале "/>
    <hyperlink ref="C17" location="Руководители!D7" display="Сведения о руководящих работниках "/>
    <hyperlink ref="C18" location="Инфраструктура!D7" display="Сведения об инфраструктуре  "/>
    <hyperlink ref="C19" location="Оборудование!D7" display="Сведения об оборудовании "/>
    <hyperlink ref="C20" location="Коммунальные услуги!D7" display="Сведения о потреблении коммунальных услуг"/>
    <hyperlink ref="C21" location="Износ!D6" display="Сведения о стоимости и износе материальных средств "/>
    <hyperlink ref="C22" location="Расходы!E10" display="Сведения о расходах "/>
    <hyperlink ref="C23" location="Предписания!D7" display="Предписания надзорных органов"/>
  </hyperlinks>
  <printOptions/>
  <pageMargins left="0.7875" right="0.5902777777777778" top="0.5902777777777778" bottom="0.5902777777777777" header="0.5118055555555555" footer="0.5118055555555555"/>
  <pageSetup horizontalDpi="300" verticalDpi="300" orientation="portrait" paperSize="9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67"/>
  <sheetViews>
    <sheetView zoomScale="88" zoomScaleNormal="88" workbookViewId="0" topLeftCell="B1">
      <pane xSplit="11" ySplit="7" topLeftCell="X53" activePane="bottomRight" state="frozen"/>
      <selection pane="topLeft" activeCell="B1" sqref="B1"/>
      <selection pane="topRight" activeCell="X1" sqref="X1"/>
      <selection pane="bottomLeft" activeCell="B53" sqref="B53"/>
      <selection pane="bottomRight" activeCell="AF58" activeCellId="1" sqref="A74:J74 AF58"/>
    </sheetView>
  </sheetViews>
  <sheetFormatPr defaultColWidth="9.00390625" defaultRowHeight="12.75"/>
  <cols>
    <col min="1" max="1" width="7.375" style="100" customWidth="1"/>
    <col min="2" max="2" width="43.50390625" style="100" customWidth="1"/>
    <col min="3" max="3" width="5.625" style="100" customWidth="1"/>
    <col min="4" max="4" width="7.00390625" style="100" customWidth="1"/>
    <col min="5" max="12" width="0" style="100" hidden="1" customWidth="1"/>
    <col min="13" max="17" width="12.00390625" style="100" customWidth="1"/>
    <col min="18" max="18" width="11.625" style="100" customWidth="1"/>
    <col min="19" max="19" width="13.375" style="100" customWidth="1"/>
    <col min="20" max="20" width="12.00390625" style="100" customWidth="1"/>
    <col min="21" max="21" width="11.625" style="100" customWidth="1"/>
    <col min="22" max="22" width="13.375" style="100" customWidth="1"/>
    <col min="23" max="23" width="11.50390625" style="100" customWidth="1"/>
    <col min="24" max="24" width="11.625" style="100" customWidth="1"/>
    <col min="25" max="25" width="13.375" style="100" customWidth="1"/>
    <col min="26" max="26" width="15.50390625" style="100" customWidth="1"/>
    <col min="27" max="27" width="12.875" style="100" customWidth="1"/>
    <col min="28" max="28" width="12.50390625" style="100" customWidth="1"/>
    <col min="29" max="29" width="13.50390625" style="100" customWidth="1"/>
    <col min="30" max="16384" width="9.375" style="100" customWidth="1"/>
  </cols>
  <sheetData>
    <row r="1" spans="1:4" ht="12.75">
      <c r="A1" s="21"/>
      <c r="B1" s="21"/>
      <c r="C1" s="21"/>
      <c r="D1" s="21"/>
    </row>
    <row r="2" spans="1:4" ht="12.75">
      <c r="A2" s="21" t="s">
        <v>21</v>
      </c>
      <c r="B2" s="21"/>
      <c r="C2" s="21"/>
      <c r="D2" s="21"/>
    </row>
    <row r="3" spans="1:6" ht="15" customHeight="1">
      <c r="A3" s="244" t="s">
        <v>24</v>
      </c>
      <c r="B3" s="244"/>
      <c r="C3" s="244"/>
      <c r="D3" s="244"/>
      <c r="E3" s="244"/>
      <c r="F3" s="244"/>
    </row>
    <row r="4" spans="1:4" ht="12.75">
      <c r="A4" s="268" t="s">
        <v>443</v>
      </c>
      <c r="B4" s="268"/>
      <c r="C4" s="268"/>
      <c r="D4" s="268"/>
    </row>
    <row r="6" spans="1:28" s="269" customFormat="1" ht="45.75" customHeight="1">
      <c r="A6" s="96" t="s">
        <v>200</v>
      </c>
      <c r="B6" s="96" t="s">
        <v>444</v>
      </c>
      <c r="C6" s="96" t="s">
        <v>445</v>
      </c>
      <c r="D6" s="96" t="s">
        <v>446</v>
      </c>
      <c r="E6" s="96" t="s">
        <v>447</v>
      </c>
      <c r="F6" s="96" t="s">
        <v>448</v>
      </c>
      <c r="G6" s="96" t="s">
        <v>449</v>
      </c>
      <c r="H6" s="96" t="s">
        <v>450</v>
      </c>
      <c r="I6" s="96" t="s">
        <v>451</v>
      </c>
      <c r="J6" s="96" t="s">
        <v>452</v>
      </c>
      <c r="K6" s="96" t="s">
        <v>453</v>
      </c>
      <c r="L6" s="96" t="s">
        <v>454</v>
      </c>
      <c r="M6" s="96" t="s">
        <v>455</v>
      </c>
      <c r="N6" s="96" t="s">
        <v>456</v>
      </c>
      <c r="O6" s="96" t="s">
        <v>457</v>
      </c>
      <c r="P6" s="96" t="s">
        <v>458</v>
      </c>
      <c r="Q6" s="96" t="s">
        <v>459</v>
      </c>
      <c r="R6" s="96" t="s">
        <v>460</v>
      </c>
      <c r="S6" s="96" t="s">
        <v>461</v>
      </c>
      <c r="T6" s="96" t="s">
        <v>462</v>
      </c>
      <c r="U6" s="96" t="s">
        <v>463</v>
      </c>
      <c r="V6" s="96" t="s">
        <v>464</v>
      </c>
      <c r="W6" s="96" t="s">
        <v>465</v>
      </c>
      <c r="X6" s="96" t="s">
        <v>466</v>
      </c>
      <c r="Y6" s="96" t="s">
        <v>467</v>
      </c>
      <c r="Z6" s="96" t="s">
        <v>468</v>
      </c>
      <c r="AA6" s="96" t="s">
        <v>469</v>
      </c>
      <c r="AB6" s="96" t="s">
        <v>470</v>
      </c>
    </row>
    <row r="7" spans="1:28" s="272" customFormat="1" ht="12.75">
      <c r="A7" s="270">
        <v>1</v>
      </c>
      <c r="B7" s="270">
        <v>2</v>
      </c>
      <c r="C7" s="270">
        <v>3</v>
      </c>
      <c r="D7" s="270">
        <v>4</v>
      </c>
      <c r="E7" s="270">
        <v>5</v>
      </c>
      <c r="F7" s="270">
        <v>6</v>
      </c>
      <c r="G7" s="270">
        <v>7</v>
      </c>
      <c r="H7" s="270">
        <v>8</v>
      </c>
      <c r="I7" s="270">
        <v>9</v>
      </c>
      <c r="J7" s="270">
        <v>10</v>
      </c>
      <c r="K7" s="270">
        <v>11</v>
      </c>
      <c r="L7" s="270">
        <v>12</v>
      </c>
      <c r="M7" s="270">
        <v>13</v>
      </c>
      <c r="N7" s="270">
        <v>14</v>
      </c>
      <c r="O7" s="270">
        <v>15</v>
      </c>
      <c r="P7" s="270">
        <v>16</v>
      </c>
      <c r="Q7" s="270">
        <v>17</v>
      </c>
      <c r="R7" s="270">
        <v>18</v>
      </c>
      <c r="S7" s="270">
        <v>19</v>
      </c>
      <c r="T7" s="270">
        <v>17</v>
      </c>
      <c r="U7" s="270">
        <v>18</v>
      </c>
      <c r="V7" s="270">
        <v>19</v>
      </c>
      <c r="W7" s="270">
        <v>17</v>
      </c>
      <c r="X7" s="270">
        <v>18</v>
      </c>
      <c r="Y7" s="271">
        <v>19</v>
      </c>
      <c r="Z7" s="270">
        <v>20</v>
      </c>
      <c r="AA7" s="270">
        <v>21</v>
      </c>
      <c r="AB7" s="270">
        <v>22</v>
      </c>
    </row>
    <row r="8" spans="1:28" ht="12.75">
      <c r="A8" s="273" t="s">
        <v>4</v>
      </c>
      <c r="B8" s="274" t="s">
        <v>471</v>
      </c>
      <c r="C8" s="273">
        <v>200</v>
      </c>
      <c r="D8" s="273" t="s">
        <v>472</v>
      </c>
      <c r="E8" s="275">
        <f>+E9+E18+E40+E44</f>
        <v>308252.63</v>
      </c>
      <c r="F8" s="275">
        <f>+F9+F18+F40+F44</f>
        <v>293861.93</v>
      </c>
      <c r="G8" s="276">
        <f>+F8/E8</f>
        <v>0.9533152401651852</v>
      </c>
      <c r="H8" s="275">
        <f aca="true" t="shared" si="0" ref="H8:O8">+H9+H18+H40+H44</f>
        <v>321576.07999999996</v>
      </c>
      <c r="I8" s="275">
        <f t="shared" si="0"/>
        <v>307207.04</v>
      </c>
      <c r="J8" s="276">
        <f>+I8/H8</f>
        <v>0.9553168258037104</v>
      </c>
      <c r="K8" s="275">
        <f t="shared" si="0"/>
        <v>348913.04999999993</v>
      </c>
      <c r="L8" s="275">
        <f t="shared" si="0"/>
        <v>313560.82</v>
      </c>
      <c r="M8" s="276">
        <f>+L8/K8</f>
        <v>0.8986789688720443</v>
      </c>
      <c r="N8" s="275">
        <f t="shared" si="0"/>
        <v>339799.16</v>
      </c>
      <c r="O8" s="275">
        <f t="shared" si="0"/>
        <v>306172.8399999999</v>
      </c>
      <c r="P8" s="276">
        <f>+O8/N8</f>
        <v>0.9010406029255632</v>
      </c>
      <c r="Q8" s="275">
        <f>+Q9+Q18+Q40+Q44</f>
        <v>344879.00000000006</v>
      </c>
      <c r="R8" s="275">
        <f>+R9+R18+R40+R44</f>
        <v>338400.14738000004</v>
      </c>
      <c r="S8" s="276">
        <f>+R8/Q8</f>
        <v>0.9812141283754592</v>
      </c>
      <c r="T8" s="275">
        <f>+T9+T18+T40+T44</f>
        <v>389700.64107</v>
      </c>
      <c r="U8" s="275">
        <f>+U9+U18+U40+U44</f>
        <v>380952.07713</v>
      </c>
      <c r="V8" s="276">
        <f>+U8/T8</f>
        <v>0.977550552865453</v>
      </c>
      <c r="W8" s="275">
        <f>+W9+W18+W40+W44</f>
        <v>465080.52076000004</v>
      </c>
      <c r="X8" s="275">
        <f>+X9+X18+X40+X44</f>
        <v>455891.64432</v>
      </c>
      <c r="Y8" s="277">
        <f>+X8/W8</f>
        <v>0.9802423966822256</v>
      </c>
      <c r="Z8" s="275">
        <f>+Z9+Z18+Z40+Z44</f>
        <v>480937.32079</v>
      </c>
      <c r="AA8" s="275">
        <f>+AA9+AA18+AA40+AA44</f>
        <v>471462.2396699999</v>
      </c>
      <c r="AB8" s="278">
        <f>AA8/Z8</f>
        <v>0.9802987193748323</v>
      </c>
    </row>
    <row r="9" spans="1:28" ht="12.75">
      <c r="A9" s="212" t="s">
        <v>473</v>
      </c>
      <c r="B9" s="279" t="s">
        <v>474</v>
      </c>
      <c r="C9" s="212">
        <v>210</v>
      </c>
      <c r="D9" s="212">
        <v>21000</v>
      </c>
      <c r="E9" s="280">
        <f>E10+E13+E17</f>
        <v>15104.62</v>
      </c>
      <c r="F9" s="280">
        <f>F10+F13+F17</f>
        <v>14983.93</v>
      </c>
      <c r="G9" s="281">
        <f>+F9/E9</f>
        <v>0.9920097294734989</v>
      </c>
      <c r="H9" s="280">
        <f>H10+H13+H17</f>
        <v>18487.52</v>
      </c>
      <c r="I9" s="280">
        <f>I10+I13+I17</f>
        <v>18151.17</v>
      </c>
      <c r="J9" s="281">
        <f>+I9/H9</f>
        <v>0.9818066457805048</v>
      </c>
      <c r="K9" s="280">
        <f>K10+K13+K17</f>
        <v>20139.72</v>
      </c>
      <c r="L9" s="280">
        <f>L10+L13+L17</f>
        <v>19934.36</v>
      </c>
      <c r="M9" s="281">
        <f>+L9/K9</f>
        <v>0.989803234603063</v>
      </c>
      <c r="N9" s="280">
        <f>N10+N13+N17</f>
        <v>21347.88</v>
      </c>
      <c r="O9" s="280">
        <f>O10+O13+O17</f>
        <v>21215.61</v>
      </c>
      <c r="P9" s="281">
        <f>+O9/N9</f>
        <v>0.9938040686007229</v>
      </c>
      <c r="Q9" s="280">
        <f>Q10+Q13+Q17</f>
        <v>23056.22</v>
      </c>
      <c r="R9" s="280">
        <f>R10+R13+R17</f>
        <v>23009.48</v>
      </c>
      <c r="S9" s="281">
        <f>+R9/Q9</f>
        <v>0.9979727813145433</v>
      </c>
      <c r="T9" s="280">
        <f>T10+T13+T17</f>
        <v>23248.33098</v>
      </c>
      <c r="U9" s="280">
        <f>U10+U13+U17</f>
        <v>23056.53967</v>
      </c>
      <c r="V9" s="281">
        <f>+U9/T9</f>
        <v>0.9917503191878594</v>
      </c>
      <c r="W9" s="280">
        <f>W10+W13+W17</f>
        <v>25692.59211</v>
      </c>
      <c r="X9" s="280">
        <f>X10+X13+X17</f>
        <v>25511.892809999998</v>
      </c>
      <c r="Y9" s="282">
        <f>+X9/W9</f>
        <v>0.9929668715703592</v>
      </c>
      <c r="Z9" s="280">
        <f>Z10+Z13+Z17</f>
        <v>27009.355579999996</v>
      </c>
      <c r="AA9" s="280">
        <f>AA10+AA13+AA17</f>
        <v>26967.60948</v>
      </c>
      <c r="AB9" s="281">
        <f>AA9/Z9</f>
        <v>0.9984543837087728</v>
      </c>
    </row>
    <row r="10" spans="1:28" ht="12.75">
      <c r="A10" s="169" t="s">
        <v>475</v>
      </c>
      <c r="B10" s="69" t="s">
        <v>476</v>
      </c>
      <c r="C10" s="169">
        <v>211</v>
      </c>
      <c r="D10" s="169">
        <v>21100</v>
      </c>
      <c r="E10" s="283">
        <f>SUM(E11:E12)</f>
        <v>11930.74</v>
      </c>
      <c r="F10" s="283">
        <f>SUM(F11:F12)</f>
        <v>11930.51</v>
      </c>
      <c r="G10" s="284">
        <f>+F10/E10</f>
        <v>0.9999807220675332</v>
      </c>
      <c r="H10" s="283">
        <f>SUM(H11:H12)</f>
        <v>13462.5</v>
      </c>
      <c r="I10" s="283">
        <f>SUM(I11:I12)</f>
        <v>13462.49</v>
      </c>
      <c r="J10" s="284">
        <f>+I10/H10</f>
        <v>0.9999992571959145</v>
      </c>
      <c r="K10" s="283">
        <f>SUM(K11:K12)</f>
        <v>15138.22</v>
      </c>
      <c r="L10" s="283">
        <f>SUM(L11:L12)</f>
        <v>15138.22</v>
      </c>
      <c r="M10" s="284">
        <f>+L10/K10</f>
        <v>1</v>
      </c>
      <c r="N10" s="283">
        <f>SUM(N11:N12)</f>
        <v>16031.37</v>
      </c>
      <c r="O10" s="283">
        <f>SUM(O11:O12)</f>
        <v>16031.37</v>
      </c>
      <c r="P10" s="284">
        <f>+O10/N10</f>
        <v>1</v>
      </c>
      <c r="Q10" s="283">
        <f>SUM(Q11:Q12)</f>
        <v>17494.46</v>
      </c>
      <c r="R10" s="283">
        <f>SUM(R11:R12)</f>
        <v>17494.46</v>
      </c>
      <c r="S10" s="284">
        <f>+R10/Q10</f>
        <v>1</v>
      </c>
      <c r="T10" s="283">
        <f>SUM(T11:T12)</f>
        <v>17055.82218</v>
      </c>
      <c r="U10" s="283">
        <f>SUM(U11:U12)</f>
        <v>17055.82218</v>
      </c>
      <c r="V10" s="284">
        <f>+U10/T10</f>
        <v>1</v>
      </c>
      <c r="W10" s="283">
        <f>SUM(W11:W12)</f>
        <v>19350.98389</v>
      </c>
      <c r="X10" s="283">
        <f>SUM(X11:X12)</f>
        <v>19325.03012</v>
      </c>
      <c r="Y10" s="285">
        <f>+X10/W10</f>
        <v>0.9986587880932808</v>
      </c>
      <c r="Z10" s="283">
        <f>SUM(Z11:Z12)</f>
        <v>20200.1</v>
      </c>
      <c r="AA10" s="283">
        <f>SUM(AA11:AA12)</f>
        <v>20196.594530000002</v>
      </c>
      <c r="AB10" s="284">
        <f>+AA10/Z10</f>
        <v>0.9998264627402836</v>
      </c>
    </row>
    <row r="11" spans="1:28" ht="12.75">
      <c r="A11" s="142" t="s">
        <v>477</v>
      </c>
      <c r="B11" s="49" t="s">
        <v>478</v>
      </c>
      <c r="C11" s="142"/>
      <c r="D11" s="142" t="s">
        <v>479</v>
      </c>
      <c r="E11" s="286">
        <v>11930.74</v>
      </c>
      <c r="F11" s="286">
        <v>11930.51</v>
      </c>
      <c r="G11" s="287">
        <f>+F11/E11</f>
        <v>0.9999807220675332</v>
      </c>
      <c r="H11" s="286">
        <v>13462.5</v>
      </c>
      <c r="I11" s="286">
        <v>13462.49</v>
      </c>
      <c r="J11" s="287">
        <f>+I11/H11</f>
        <v>0.9999992571959145</v>
      </c>
      <c r="K11" s="288">
        <v>15138.22</v>
      </c>
      <c r="L11" s="288">
        <v>15138.22</v>
      </c>
      <c r="M11" s="287">
        <f>+L11/K11</f>
        <v>1</v>
      </c>
      <c r="N11" s="288">
        <v>16031.37</v>
      </c>
      <c r="O11" s="288">
        <v>16031.37</v>
      </c>
      <c r="P11" s="287">
        <f>+O11/N11</f>
        <v>1</v>
      </c>
      <c r="Q11" s="289">
        <f>17475.41+19.05</f>
        <v>17494.46</v>
      </c>
      <c r="R11" s="289">
        <f>17494.46</f>
        <v>17494.46</v>
      </c>
      <c r="S11" s="287">
        <f>+R11/Q11</f>
        <v>1</v>
      </c>
      <c r="T11" s="289">
        <f>17055822.18/1000</f>
        <v>17055.82218</v>
      </c>
      <c r="U11" s="289">
        <f>17055822.18/1000</f>
        <v>17055.82218</v>
      </c>
      <c r="V11" s="287">
        <f>+U11/T11</f>
        <v>1</v>
      </c>
      <c r="W11" s="289">
        <f>(19020700+20049.92+4101.7+306132.27)/1000</f>
        <v>19350.98389</v>
      </c>
      <c r="X11" s="289">
        <f>(280210.83+20049.92+4069.37+19020700)/1000</f>
        <v>19325.03012</v>
      </c>
      <c r="Y11" s="290">
        <f>+X11/W11</f>
        <v>0.9986587880932808</v>
      </c>
      <c r="Z11" s="291">
        <f>(19865265.05+4665.38+21034.09+309135.48)/1000</f>
        <v>20200.1</v>
      </c>
      <c r="AA11" s="291">
        <f>(19865265.05+4109.03+21034.09+306186.36)/1000</f>
        <v>20196.594530000002</v>
      </c>
      <c r="AB11" s="292">
        <f>+AA11/Z11</f>
        <v>0.9998264627402836</v>
      </c>
    </row>
    <row r="12" spans="1:28" ht="12.75">
      <c r="A12" s="142" t="s">
        <v>480</v>
      </c>
      <c r="B12" s="49" t="s">
        <v>481</v>
      </c>
      <c r="C12" s="142"/>
      <c r="D12" s="142" t="s">
        <v>482</v>
      </c>
      <c r="E12" s="286">
        <v>0</v>
      </c>
      <c r="F12" s="286">
        <v>0</v>
      </c>
      <c r="G12" s="287"/>
      <c r="H12" s="286">
        <v>0</v>
      </c>
      <c r="I12" s="286">
        <v>0</v>
      </c>
      <c r="J12" s="287"/>
      <c r="K12" s="288">
        <v>0</v>
      </c>
      <c r="L12" s="288">
        <v>0</v>
      </c>
      <c r="M12" s="287"/>
      <c r="N12" s="288">
        <v>0</v>
      </c>
      <c r="O12" s="288">
        <v>0</v>
      </c>
      <c r="P12" s="287"/>
      <c r="Q12" s="289"/>
      <c r="R12" s="289"/>
      <c r="S12" s="287"/>
      <c r="T12" s="289"/>
      <c r="U12" s="289"/>
      <c r="V12" s="287"/>
      <c r="W12" s="289"/>
      <c r="X12" s="289"/>
      <c r="Y12" s="290"/>
      <c r="Z12" s="291"/>
      <c r="AA12" s="291"/>
      <c r="AB12" s="293"/>
    </row>
    <row r="13" spans="1:28" ht="15.75">
      <c r="A13" s="169" t="s">
        <v>483</v>
      </c>
      <c r="B13" s="69" t="s">
        <v>484</v>
      </c>
      <c r="C13" s="169">
        <v>212</v>
      </c>
      <c r="D13" s="169">
        <v>21200</v>
      </c>
      <c r="E13" s="286">
        <f>SUM(E14:E16)</f>
        <v>148.35</v>
      </c>
      <c r="F13" s="286">
        <f>SUM(F14:F16)</f>
        <v>142.96</v>
      </c>
      <c r="G13" s="287">
        <f>+F13/E13</f>
        <v>0.9636670037074487</v>
      </c>
      <c r="H13" s="286">
        <f>SUM(H14:H16)</f>
        <v>420.94</v>
      </c>
      <c r="I13" s="286">
        <f>SUM(I14:I16)</f>
        <v>413.91</v>
      </c>
      <c r="J13" s="287">
        <f>+I13/H13</f>
        <v>0.9832992825580843</v>
      </c>
      <c r="K13" s="286">
        <f>SUM(K14:K16)</f>
        <v>429.76</v>
      </c>
      <c r="L13" s="286">
        <f>SUM(L14:L16)</f>
        <v>429.76</v>
      </c>
      <c r="M13" s="287">
        <f>+L13/K13</f>
        <v>1</v>
      </c>
      <c r="N13" s="286">
        <f>SUM(N14:N16)</f>
        <v>475.03</v>
      </c>
      <c r="O13" s="286">
        <f>SUM(O14:O16)</f>
        <v>412.38</v>
      </c>
      <c r="P13" s="287">
        <f>+O13/N13</f>
        <v>0.8681135928257163</v>
      </c>
      <c r="Q13" s="294">
        <f>SUM(Q14:Q16)</f>
        <v>487.66</v>
      </c>
      <c r="R13" s="294">
        <f>SUM(R14:R16)</f>
        <v>454.09</v>
      </c>
      <c r="S13" s="292">
        <f>+R13/Q13</f>
        <v>0.9311610548332854</v>
      </c>
      <c r="T13" s="294">
        <f>SUM(T14:T16)</f>
        <v>1041.6508</v>
      </c>
      <c r="U13" s="294">
        <f>SUM(U14:U16)</f>
        <v>950.25634</v>
      </c>
      <c r="V13" s="292">
        <f>+U13/T13</f>
        <v>0.9122599819440451</v>
      </c>
      <c r="W13" s="294">
        <f>SUM(W14:W16)</f>
        <v>497.56248</v>
      </c>
      <c r="X13" s="294">
        <f>SUM(X14:X16)</f>
        <v>459.42227</v>
      </c>
      <c r="Y13" s="290">
        <f>+X13/W13</f>
        <v>0.9233458881385108</v>
      </c>
      <c r="Z13" s="295">
        <f>Z16</f>
        <v>708.8555799999999</v>
      </c>
      <c r="AA13" s="295">
        <f>AA16</f>
        <v>703.91578</v>
      </c>
      <c r="AB13" s="296">
        <f>AA13/Z13</f>
        <v>0.9930313026526505</v>
      </c>
    </row>
    <row r="14" spans="1:28" ht="15.75">
      <c r="A14" s="63" t="s">
        <v>485</v>
      </c>
      <c r="B14" s="49" t="s">
        <v>486</v>
      </c>
      <c r="C14" s="142"/>
      <c r="D14" s="142" t="s">
        <v>487</v>
      </c>
      <c r="E14" s="286">
        <v>0</v>
      </c>
      <c r="F14" s="286">
        <v>0</v>
      </c>
      <c r="G14" s="287"/>
      <c r="H14" s="286">
        <v>0</v>
      </c>
      <c r="I14" s="286">
        <v>0</v>
      </c>
      <c r="J14" s="287"/>
      <c r="K14" s="288">
        <v>0</v>
      </c>
      <c r="L14" s="288">
        <v>0</v>
      </c>
      <c r="M14" s="287"/>
      <c r="N14" s="288">
        <v>0.5</v>
      </c>
      <c r="O14" s="288">
        <v>0.5</v>
      </c>
      <c r="P14" s="287">
        <f>+O14/N14</f>
        <v>1</v>
      </c>
      <c r="Q14" s="289"/>
      <c r="R14" s="289"/>
      <c r="S14" s="287"/>
      <c r="T14" s="289"/>
      <c r="U14" s="289"/>
      <c r="V14" s="287"/>
      <c r="W14" s="289"/>
      <c r="X14" s="289"/>
      <c r="Y14" s="290"/>
      <c r="Z14" s="291"/>
      <c r="AA14" s="291"/>
      <c r="AB14" s="293"/>
    </row>
    <row r="15" spans="1:28" ht="32.25" customHeight="1">
      <c r="A15" s="142" t="s">
        <v>488</v>
      </c>
      <c r="B15" s="49" t="s">
        <v>489</v>
      </c>
      <c r="C15" s="142"/>
      <c r="D15" s="142" t="s">
        <v>490</v>
      </c>
      <c r="E15" s="286">
        <v>0</v>
      </c>
      <c r="F15" s="286">
        <v>0</v>
      </c>
      <c r="G15" s="287"/>
      <c r="H15" s="286">
        <v>0</v>
      </c>
      <c r="I15" s="286">
        <v>0</v>
      </c>
      <c r="J15" s="287"/>
      <c r="K15" s="288">
        <v>0</v>
      </c>
      <c r="L15" s="288">
        <v>0</v>
      </c>
      <c r="M15" s="287"/>
      <c r="N15" s="288">
        <v>0</v>
      </c>
      <c r="O15" s="288">
        <v>0</v>
      </c>
      <c r="P15" s="287"/>
      <c r="Q15" s="289"/>
      <c r="R15" s="289"/>
      <c r="S15" s="287"/>
      <c r="T15" s="289"/>
      <c r="U15" s="289"/>
      <c r="V15" s="287"/>
      <c r="W15" s="289"/>
      <c r="X15" s="289"/>
      <c r="Y15" s="290"/>
      <c r="Z15" s="291"/>
      <c r="AA15" s="291"/>
      <c r="AB15" s="293"/>
    </row>
    <row r="16" spans="1:28" ht="12.75">
      <c r="A16" s="142" t="s">
        <v>491</v>
      </c>
      <c r="B16" s="49" t="s">
        <v>492</v>
      </c>
      <c r="C16" s="142"/>
      <c r="D16" s="142" t="s">
        <v>493</v>
      </c>
      <c r="E16" s="286">
        <v>148.35</v>
      </c>
      <c r="F16" s="286">
        <v>142.96</v>
      </c>
      <c r="G16" s="287">
        <f aca="true" t="shared" si="1" ref="G16:G23">+F16/E16</f>
        <v>0.9636670037074487</v>
      </c>
      <c r="H16" s="286">
        <v>420.94</v>
      </c>
      <c r="I16" s="286">
        <v>413.91</v>
      </c>
      <c r="J16" s="287">
        <f>+I16/H16</f>
        <v>0.9832992825580843</v>
      </c>
      <c r="K16" s="288">
        <v>429.76</v>
      </c>
      <c r="L16" s="288">
        <v>429.76</v>
      </c>
      <c r="M16" s="287">
        <f>+L16/K16</f>
        <v>1</v>
      </c>
      <c r="N16" s="288">
        <v>474.53</v>
      </c>
      <c r="O16" s="288">
        <v>411.88</v>
      </c>
      <c r="P16" s="287">
        <f aca="true" t="shared" si="2" ref="P16:P23">+O16/N16</f>
        <v>0.8679746275261838</v>
      </c>
      <c r="Q16" s="289">
        <v>487.66</v>
      </c>
      <c r="R16" s="289">
        <v>454.09</v>
      </c>
      <c r="S16" s="287">
        <f aca="true" t="shared" si="3" ref="S16:S23">+R16/Q16</f>
        <v>0.9311610548332854</v>
      </c>
      <c r="T16" s="289">
        <f>(2520+668821.89+368122.8+2186.11)/1000</f>
        <v>1041.6508</v>
      </c>
      <c r="U16" s="289">
        <f>(368122.8+2463.55+577483.88+2186.11)/1000</f>
        <v>950.25634</v>
      </c>
      <c r="V16" s="287">
        <f aca="true" t="shared" si="4" ref="V16:V23">+U16/T16</f>
        <v>0.9122599819440451</v>
      </c>
      <c r="W16" s="289">
        <f>(475258.48+22304)/1000</f>
        <v>497.56248</v>
      </c>
      <c r="X16" s="289">
        <f>(445632.14+13790.13)/1000</f>
        <v>459.42227</v>
      </c>
      <c r="Y16" s="290">
        <f>+X16/W16</f>
        <v>0.9233458881385108</v>
      </c>
      <c r="Z16" s="291">
        <f>(2869.74+705985.84)/1000</f>
        <v>708.8555799999999</v>
      </c>
      <c r="AA16" s="291">
        <f>(2589.74+701326.04)/1000</f>
        <v>703.91578</v>
      </c>
      <c r="AB16" s="292">
        <f>AA16/Z16</f>
        <v>0.9930313026526505</v>
      </c>
    </row>
    <row r="17" spans="1:28" ht="12.75">
      <c r="A17" s="169" t="s">
        <v>494</v>
      </c>
      <c r="B17" s="69" t="s">
        <v>495</v>
      </c>
      <c r="C17" s="169">
        <v>213</v>
      </c>
      <c r="D17" s="169">
        <v>21300</v>
      </c>
      <c r="E17" s="286">
        <v>3025.53</v>
      </c>
      <c r="F17" s="286">
        <v>2910.46</v>
      </c>
      <c r="G17" s="287">
        <f t="shared" si="1"/>
        <v>0.9619669942125841</v>
      </c>
      <c r="H17" s="286">
        <v>4604.08</v>
      </c>
      <c r="I17" s="286">
        <v>4274.77</v>
      </c>
      <c r="J17" s="287">
        <f>+I17/H17</f>
        <v>0.9284743097426631</v>
      </c>
      <c r="K17" s="288">
        <v>4571.74</v>
      </c>
      <c r="L17" s="288">
        <v>4366.38</v>
      </c>
      <c r="M17" s="287">
        <f>+L17/K17</f>
        <v>0.9550805601368407</v>
      </c>
      <c r="N17" s="288">
        <v>4841.48</v>
      </c>
      <c r="O17" s="288">
        <v>4771.86</v>
      </c>
      <c r="P17" s="287">
        <f t="shared" si="2"/>
        <v>0.9856200996389534</v>
      </c>
      <c r="Q17" s="289">
        <f>5007.5+5.8+60.8</f>
        <v>5074.1</v>
      </c>
      <c r="R17" s="289">
        <v>5060.93</v>
      </c>
      <c r="S17" s="287">
        <f t="shared" si="3"/>
        <v>0.997404465816598</v>
      </c>
      <c r="T17" s="289">
        <f>(5150858)/1000</f>
        <v>5150.858</v>
      </c>
      <c r="U17" s="289">
        <f>5050461.15/1000</f>
        <v>5050.46115</v>
      </c>
      <c r="V17" s="287">
        <f t="shared" si="4"/>
        <v>0.9805087133056279</v>
      </c>
      <c r="W17" s="289">
        <f>(5744300+6055.08+1238.71+92451.95)/1000</f>
        <v>5844.0457400000005</v>
      </c>
      <c r="X17" s="289">
        <f>(84623.67+6055.08+1228.95+5635532.72)/1000</f>
        <v>5727.44042</v>
      </c>
      <c r="Y17" s="290">
        <f>+X17/W17</f>
        <v>0.9800471582209074</v>
      </c>
      <c r="Z17" s="291">
        <f>(93358.92+6352.3+1408.95+5999279.83)/1000</f>
        <v>6100.4</v>
      </c>
      <c r="AA17" s="291">
        <f>(92468.28+6352.3+1240.93+5967037.66)/1000</f>
        <v>6067.0991699999995</v>
      </c>
      <c r="AB17" s="292">
        <f>AA17/Z17</f>
        <v>0.9945412054947216</v>
      </c>
    </row>
    <row r="18" spans="1:28" ht="12.75">
      <c r="A18" s="212" t="s">
        <v>496</v>
      </c>
      <c r="B18" s="279" t="s">
        <v>497</v>
      </c>
      <c r="C18" s="212">
        <v>220</v>
      </c>
      <c r="D18" s="212">
        <v>22000</v>
      </c>
      <c r="E18" s="297">
        <f>E19+E20+E23+E25+E32</f>
        <v>4019.9300000000003</v>
      </c>
      <c r="F18" s="297">
        <f>F19+F20+F23+F25+F32</f>
        <v>3261.69</v>
      </c>
      <c r="G18" s="281">
        <f t="shared" si="1"/>
        <v>0.8113798001457736</v>
      </c>
      <c r="H18" s="297">
        <f aca="true" t="shared" si="5" ref="H18:O18">H19+H20+H23+H25+H32</f>
        <v>3496.73</v>
      </c>
      <c r="I18" s="297">
        <f t="shared" si="5"/>
        <v>2596.33</v>
      </c>
      <c r="J18" s="281">
        <f>+I18/H18</f>
        <v>0.7425022807022561</v>
      </c>
      <c r="K18" s="297">
        <f t="shared" si="5"/>
        <v>3007.94</v>
      </c>
      <c r="L18" s="297">
        <f t="shared" si="5"/>
        <v>2794.4100000000003</v>
      </c>
      <c r="M18" s="281">
        <f>+L18/K18</f>
        <v>0.9290112169790622</v>
      </c>
      <c r="N18" s="297">
        <f t="shared" si="5"/>
        <v>3493.99</v>
      </c>
      <c r="O18" s="297">
        <f t="shared" si="5"/>
        <v>3220.75</v>
      </c>
      <c r="P18" s="281">
        <f t="shared" si="2"/>
        <v>0.9217971430942848</v>
      </c>
      <c r="Q18" s="297">
        <f>Q19+Q20+Q23+Q25+Q32</f>
        <v>3354.8500000000004</v>
      </c>
      <c r="R18" s="297">
        <f>R19+R20+R23+R25+R32</f>
        <v>2995.18738</v>
      </c>
      <c r="S18" s="281">
        <f t="shared" si="3"/>
        <v>0.8927932336766173</v>
      </c>
      <c r="T18" s="297">
        <f>T19+T20+T23+T25+T32</f>
        <v>3208.51283</v>
      </c>
      <c r="U18" s="297">
        <f>U19+U20+U23+U25+U32</f>
        <v>2870.3601099999996</v>
      </c>
      <c r="V18" s="281">
        <f t="shared" si="4"/>
        <v>0.8946076459977875</v>
      </c>
      <c r="W18" s="297">
        <f>W19+W20+W23+W25+W32</f>
        <v>3583.4638699999996</v>
      </c>
      <c r="X18" s="297">
        <f>X19+X20+X23+X25+X32</f>
        <v>3417.03415</v>
      </c>
      <c r="Y18" s="282">
        <f>+X18/W18</f>
        <v>0.9535561886382297</v>
      </c>
      <c r="Z18" s="297">
        <f>Z19+Z20+Z23+Z25+Z32</f>
        <v>3388.2967500000004</v>
      </c>
      <c r="AA18" s="297">
        <f>AA19+AA20+AA23+AA25+AA32</f>
        <v>3251.14872</v>
      </c>
      <c r="AB18" s="282">
        <f>+AA18/Z18</f>
        <v>0.9595230169848611</v>
      </c>
    </row>
    <row r="19" spans="1:28" ht="15.75">
      <c r="A19" s="169" t="s">
        <v>498</v>
      </c>
      <c r="B19" s="69" t="s">
        <v>499</v>
      </c>
      <c r="C19" s="169">
        <v>221</v>
      </c>
      <c r="D19" s="169">
        <v>22100</v>
      </c>
      <c r="E19" s="298">
        <v>1015.24</v>
      </c>
      <c r="F19" s="298">
        <v>601.87</v>
      </c>
      <c r="G19" s="284">
        <f t="shared" si="1"/>
        <v>0.5928351916788148</v>
      </c>
      <c r="H19" s="298">
        <v>1410.23</v>
      </c>
      <c r="I19" s="298">
        <v>586.01</v>
      </c>
      <c r="J19" s="284">
        <f>+I19/H19</f>
        <v>0.4155421456074541</v>
      </c>
      <c r="K19" s="298">
        <v>680.06</v>
      </c>
      <c r="L19" s="298">
        <v>595.28</v>
      </c>
      <c r="M19" s="284">
        <f>+L19/K19</f>
        <v>0.8753345293062377</v>
      </c>
      <c r="N19" s="298">
        <v>680.29</v>
      </c>
      <c r="O19" s="298">
        <v>650.37</v>
      </c>
      <c r="P19" s="284">
        <f t="shared" si="2"/>
        <v>0.9560187567066987</v>
      </c>
      <c r="Q19" s="298">
        <f>729.02</f>
        <v>729.02</v>
      </c>
      <c r="R19" s="298">
        <v>595.81738</v>
      </c>
      <c r="S19" s="284">
        <f t="shared" si="3"/>
        <v>0.8172853694000164</v>
      </c>
      <c r="T19" s="298">
        <f>(692988.7)/1000</f>
        <v>692.9887</v>
      </c>
      <c r="U19" s="298">
        <f>(653430.68)/1000</f>
        <v>653.43068</v>
      </c>
      <c r="V19" s="284">
        <f t="shared" si="4"/>
        <v>0.9429167892636634</v>
      </c>
      <c r="W19" s="298">
        <f>(678316.14)/1000</f>
        <v>678.31614</v>
      </c>
      <c r="X19" s="298">
        <f>(617090.54)/1000</f>
        <v>617.09054</v>
      </c>
      <c r="Y19" s="285">
        <f>+X19/W19</f>
        <v>0.9097388424223549</v>
      </c>
      <c r="Z19" s="298">
        <f>(490689.02+39300+13300+1191+40+390+108+389.4+391+3593.35+7018+54+29100+55000)/1000</f>
        <v>640.56377</v>
      </c>
      <c r="AA19" s="298">
        <f>(489017.25+39300+12610.78+1108.11+31.34+360.04+106.2+389.4+324.83+2543.35+5470.32+46.02+27895.13+42697.17)/1000</f>
        <v>621.8999399999999</v>
      </c>
      <c r="AB19" s="284">
        <f>AA19/Z19</f>
        <v>0.9708634317548117</v>
      </c>
    </row>
    <row r="20" spans="1:28" ht="15.75">
      <c r="A20" s="169" t="s">
        <v>500</v>
      </c>
      <c r="B20" s="69" t="s">
        <v>501</v>
      </c>
      <c r="C20" s="169">
        <v>222</v>
      </c>
      <c r="D20" s="169">
        <v>22200</v>
      </c>
      <c r="E20" s="283">
        <f>SUM(E21:E22)</f>
        <v>31.13</v>
      </c>
      <c r="F20" s="283">
        <f>SUM(F21:F22)</f>
        <v>30.4</v>
      </c>
      <c r="G20" s="284">
        <f t="shared" si="1"/>
        <v>0.9765499518149695</v>
      </c>
      <c r="H20" s="283">
        <f>SUM(H21:H22)</f>
        <v>0</v>
      </c>
      <c r="I20" s="283">
        <f>SUM(I21:I22)</f>
        <v>0</v>
      </c>
      <c r="J20" s="284"/>
      <c r="K20" s="283">
        <f>SUM(K21:K22)</f>
        <v>21.91</v>
      </c>
      <c r="L20" s="283">
        <f>SUM(L21:L22)</f>
        <v>21.91</v>
      </c>
      <c r="M20" s="284">
        <f>+L20/K20</f>
        <v>1</v>
      </c>
      <c r="N20" s="283">
        <f>SUM(N21:N22)</f>
        <v>30.41</v>
      </c>
      <c r="O20" s="283">
        <f>SUM(O21:O22)</f>
        <v>30.41</v>
      </c>
      <c r="P20" s="284">
        <f t="shared" si="2"/>
        <v>1</v>
      </c>
      <c r="Q20" s="283">
        <f>SUM(Q21:Q22)</f>
        <v>39.5</v>
      </c>
      <c r="R20" s="283">
        <f>SUM(R21:R22)</f>
        <v>39.5</v>
      </c>
      <c r="S20" s="284">
        <f t="shared" si="3"/>
        <v>1</v>
      </c>
      <c r="T20" s="283">
        <f>SUM(T21:T22)</f>
        <v>30.5</v>
      </c>
      <c r="U20" s="283">
        <f>SUM(U21:U22)</f>
        <v>30.5</v>
      </c>
      <c r="V20" s="284">
        <f t="shared" si="4"/>
        <v>1</v>
      </c>
      <c r="W20" s="283">
        <f>SUM(W21:W22)</f>
        <v>29.233</v>
      </c>
      <c r="X20" s="283">
        <f>SUM(X21:X22)</f>
        <v>29.233</v>
      </c>
      <c r="Y20" s="285">
        <f>+X20/W20</f>
        <v>1</v>
      </c>
      <c r="Z20" s="298">
        <f>Z21+Z22</f>
        <v>43.8495</v>
      </c>
      <c r="AA20" s="298">
        <f>AA21+AA22</f>
        <v>43.8495</v>
      </c>
      <c r="AB20" s="299">
        <f>AA20/Z20</f>
        <v>1</v>
      </c>
    </row>
    <row r="21" spans="1:28" ht="15.75">
      <c r="A21" s="142" t="s">
        <v>502</v>
      </c>
      <c r="B21" s="49" t="s">
        <v>486</v>
      </c>
      <c r="C21" s="142"/>
      <c r="D21" s="142" t="s">
        <v>503</v>
      </c>
      <c r="E21" s="286">
        <v>1</v>
      </c>
      <c r="F21" s="286">
        <v>1</v>
      </c>
      <c r="G21" s="287">
        <f t="shared" si="1"/>
        <v>1</v>
      </c>
      <c r="H21" s="286">
        <v>0</v>
      </c>
      <c r="I21" s="286">
        <v>0</v>
      </c>
      <c r="J21" s="287"/>
      <c r="K21" s="288">
        <v>0</v>
      </c>
      <c r="L21" s="288">
        <v>0</v>
      </c>
      <c r="M21" s="287"/>
      <c r="N21" s="288">
        <v>12</v>
      </c>
      <c r="O21" s="288">
        <v>12</v>
      </c>
      <c r="P21" s="287">
        <f t="shared" si="2"/>
        <v>1</v>
      </c>
      <c r="Q21" s="288">
        <v>1</v>
      </c>
      <c r="R21" s="288">
        <v>1</v>
      </c>
      <c r="S21" s="287">
        <f t="shared" si="3"/>
        <v>1</v>
      </c>
      <c r="T21" s="288">
        <v>0</v>
      </c>
      <c r="U21" s="288">
        <v>0</v>
      </c>
      <c r="V21" s="287"/>
      <c r="W21" s="288">
        <v>0</v>
      </c>
      <c r="X21" s="288">
        <v>0</v>
      </c>
      <c r="Y21" s="290"/>
      <c r="Z21" s="291">
        <v>0</v>
      </c>
      <c r="AA21" s="291">
        <v>0</v>
      </c>
      <c r="AB21" s="293"/>
    </row>
    <row r="22" spans="1:28" ht="31.5">
      <c r="A22" s="142" t="s">
        <v>504</v>
      </c>
      <c r="B22" s="49" t="s">
        <v>505</v>
      </c>
      <c r="C22" s="142"/>
      <c r="D22" s="142" t="s">
        <v>506</v>
      </c>
      <c r="E22" s="286">
        <v>30.13</v>
      </c>
      <c r="F22" s="286">
        <v>29.4</v>
      </c>
      <c r="G22" s="287">
        <f t="shared" si="1"/>
        <v>0.9757716561566545</v>
      </c>
      <c r="H22" s="286">
        <v>0</v>
      </c>
      <c r="I22" s="286">
        <v>0</v>
      </c>
      <c r="J22" s="287"/>
      <c r="K22" s="288">
        <v>21.91</v>
      </c>
      <c r="L22" s="288">
        <v>21.91</v>
      </c>
      <c r="M22" s="287">
        <f>+L22/K22</f>
        <v>1</v>
      </c>
      <c r="N22" s="288">
        <v>18.41</v>
      </c>
      <c r="O22" s="288">
        <v>18.41</v>
      </c>
      <c r="P22" s="287">
        <f t="shared" si="2"/>
        <v>1</v>
      </c>
      <c r="Q22" s="288">
        <v>38.5</v>
      </c>
      <c r="R22" s="288">
        <v>38.5</v>
      </c>
      <c r="S22" s="287">
        <f t="shared" si="3"/>
        <v>1</v>
      </c>
      <c r="T22" s="288">
        <f>30500/1000</f>
        <v>30.5</v>
      </c>
      <c r="U22" s="288">
        <f>30500/1000</f>
        <v>30.5</v>
      </c>
      <c r="V22" s="287">
        <f t="shared" si="4"/>
        <v>1</v>
      </c>
      <c r="W22" s="288">
        <f>29233/1000</f>
        <v>29.233</v>
      </c>
      <c r="X22" s="288">
        <f>29233/1000</f>
        <v>29.233</v>
      </c>
      <c r="Y22" s="290">
        <f>+X22/W22</f>
        <v>1</v>
      </c>
      <c r="Z22" s="291">
        <f>43849.5/1000</f>
        <v>43.8495</v>
      </c>
      <c r="AA22" s="291">
        <f>43849.5/1000</f>
        <v>43.8495</v>
      </c>
      <c r="AB22" s="292">
        <f>AA22/Z22</f>
        <v>1</v>
      </c>
    </row>
    <row r="23" spans="1:28" ht="15.75">
      <c r="A23" s="169" t="s">
        <v>507</v>
      </c>
      <c r="B23" s="69" t="s">
        <v>508</v>
      </c>
      <c r="C23" s="169">
        <v>223</v>
      </c>
      <c r="D23" s="169">
        <v>22300</v>
      </c>
      <c r="E23" s="283">
        <v>538.5</v>
      </c>
      <c r="F23" s="283">
        <v>528.38</v>
      </c>
      <c r="G23" s="284">
        <f t="shared" si="1"/>
        <v>0.9812070566388115</v>
      </c>
      <c r="H23" s="283">
        <v>573.17</v>
      </c>
      <c r="I23" s="283">
        <v>541.38</v>
      </c>
      <c r="J23" s="284">
        <f>+I23/H23</f>
        <v>0.9445365249402446</v>
      </c>
      <c r="K23" s="298">
        <v>587.7</v>
      </c>
      <c r="L23" s="298">
        <v>572.02</v>
      </c>
      <c r="M23" s="284">
        <f>+L23/K23</f>
        <v>0.9733197209460608</v>
      </c>
      <c r="N23" s="298">
        <v>632.05</v>
      </c>
      <c r="O23" s="298">
        <v>565.8</v>
      </c>
      <c r="P23" s="284">
        <f t="shared" si="2"/>
        <v>0.8951823431690531</v>
      </c>
      <c r="Q23" s="298">
        <v>709.2</v>
      </c>
      <c r="R23" s="298">
        <v>545.6</v>
      </c>
      <c r="S23" s="284">
        <f t="shared" si="3"/>
        <v>0.7693175408911449</v>
      </c>
      <c r="T23" s="298">
        <f>758682.08/1000</f>
        <v>758.6820799999999</v>
      </c>
      <c r="U23" s="298">
        <f>540246.56/1000</f>
        <v>540.24656</v>
      </c>
      <c r="V23" s="284">
        <f t="shared" si="4"/>
        <v>0.7120855681736942</v>
      </c>
      <c r="W23" s="298">
        <f>824334.09/1000</f>
        <v>824.33409</v>
      </c>
      <c r="X23" s="298">
        <f>804951.32/1000</f>
        <v>804.9513199999999</v>
      </c>
      <c r="Y23" s="285">
        <f>+X23/W23</f>
        <v>0.9764867542964285</v>
      </c>
      <c r="Z23" s="298">
        <f>751656.05/1000</f>
        <v>751.65605</v>
      </c>
      <c r="AA23" s="298">
        <f>747899.6/1000</f>
        <v>747.8996</v>
      </c>
      <c r="AB23" s="284">
        <f>AA23/Z23</f>
        <v>0.9950024349567863</v>
      </c>
    </row>
    <row r="24" spans="1:28" ht="31.5">
      <c r="A24" s="169" t="s">
        <v>509</v>
      </c>
      <c r="B24" s="69" t="s">
        <v>510</v>
      </c>
      <c r="C24" s="169">
        <v>224</v>
      </c>
      <c r="D24" s="169">
        <v>22400</v>
      </c>
      <c r="E24" s="283">
        <v>0</v>
      </c>
      <c r="F24" s="283">
        <v>0</v>
      </c>
      <c r="G24" s="284"/>
      <c r="H24" s="283">
        <v>0</v>
      </c>
      <c r="I24" s="283">
        <v>0</v>
      </c>
      <c r="J24" s="284"/>
      <c r="K24" s="298">
        <v>0</v>
      </c>
      <c r="L24" s="298">
        <v>0</v>
      </c>
      <c r="M24" s="284"/>
      <c r="N24" s="298">
        <v>0</v>
      </c>
      <c r="O24" s="298">
        <v>0</v>
      </c>
      <c r="P24" s="284"/>
      <c r="Q24" s="298"/>
      <c r="R24" s="298"/>
      <c r="S24" s="284"/>
      <c r="T24" s="298"/>
      <c r="U24" s="298"/>
      <c r="V24" s="284"/>
      <c r="W24" s="298"/>
      <c r="X24" s="298"/>
      <c r="Y24" s="285"/>
      <c r="Z24" s="235"/>
      <c r="AA24" s="235"/>
      <c r="AB24" s="300"/>
    </row>
    <row r="25" spans="1:29" ht="16.5" customHeight="1">
      <c r="A25" s="169" t="s">
        <v>511</v>
      </c>
      <c r="B25" s="69" t="s">
        <v>512</v>
      </c>
      <c r="C25" s="169">
        <v>225</v>
      </c>
      <c r="D25" s="169">
        <v>22500</v>
      </c>
      <c r="E25" s="283">
        <f>SUM(E26:E31)</f>
        <v>491.83000000000004</v>
      </c>
      <c r="F25" s="283">
        <f aca="true" t="shared" si="6" ref="F25:O25">SUM(F26:F31)</f>
        <v>491.83000000000004</v>
      </c>
      <c r="G25" s="284">
        <f>+F25/E25</f>
        <v>1</v>
      </c>
      <c r="H25" s="283">
        <f t="shared" si="6"/>
        <v>327.93</v>
      </c>
      <c r="I25" s="283">
        <f t="shared" si="6"/>
        <v>317.70000000000005</v>
      </c>
      <c r="J25" s="284">
        <f>+I25/H25</f>
        <v>0.9688043179946941</v>
      </c>
      <c r="K25" s="283">
        <f t="shared" si="6"/>
        <v>427.59000000000003</v>
      </c>
      <c r="L25" s="283">
        <f t="shared" si="6"/>
        <v>411.07000000000005</v>
      </c>
      <c r="M25" s="284">
        <f>+L25/K25</f>
        <v>0.961364858860123</v>
      </c>
      <c r="N25" s="283">
        <f t="shared" si="6"/>
        <v>710.5799999999999</v>
      </c>
      <c r="O25" s="283">
        <f t="shared" si="6"/>
        <v>710.24</v>
      </c>
      <c r="P25" s="284">
        <f aca="true" t="shared" si="7" ref="P25:P32">+O25/N25</f>
        <v>0.9995215176334826</v>
      </c>
      <c r="Q25" s="283">
        <f>SUM(Q26:Q31)</f>
        <v>636.64</v>
      </c>
      <c r="R25" s="283">
        <f>SUM(R26:R31)</f>
        <v>636.64</v>
      </c>
      <c r="S25" s="284">
        <f aca="true" t="shared" si="8" ref="S25:S32">+R25/Q25</f>
        <v>1</v>
      </c>
      <c r="T25" s="283">
        <f>SUM(T26:T31)</f>
        <v>585.633</v>
      </c>
      <c r="U25" s="283">
        <f>SUM(U26:U31)</f>
        <v>585.633</v>
      </c>
      <c r="V25" s="284">
        <f aca="true" t="shared" si="9" ref="V25:V32">+U25/T25</f>
        <v>1</v>
      </c>
      <c r="W25" s="283">
        <f>SUM(W26:W31)</f>
        <v>634.71866</v>
      </c>
      <c r="X25" s="283">
        <f>SUM(X26:X31)</f>
        <v>634.71866</v>
      </c>
      <c r="Y25" s="285">
        <f aca="true" t="shared" si="10" ref="Y25:Y32">+X25/W25</f>
        <v>1</v>
      </c>
      <c r="Z25" s="298">
        <f>SUM(Z26:Z31)</f>
        <v>697.1328100000001</v>
      </c>
      <c r="AA25" s="298">
        <f>SUM(AA26:AA31)</f>
        <v>695.3664100000001</v>
      </c>
      <c r="AB25" s="284">
        <f aca="true" t="shared" si="11" ref="AB25:AB32">AA25/Z25</f>
        <v>0.9974661929912609</v>
      </c>
      <c r="AC25" s="100">
        <v>695366.4</v>
      </c>
    </row>
    <row r="26" spans="1:28" ht="31.5">
      <c r="A26" s="142" t="s">
        <v>513</v>
      </c>
      <c r="B26" s="49" t="s">
        <v>514</v>
      </c>
      <c r="C26" s="142"/>
      <c r="D26" s="142" t="s">
        <v>515</v>
      </c>
      <c r="E26" s="286">
        <v>135.53</v>
      </c>
      <c r="F26" s="286">
        <v>135.53</v>
      </c>
      <c r="G26" s="287">
        <f>+F26/E26</f>
        <v>1</v>
      </c>
      <c r="H26" s="286">
        <v>141.43</v>
      </c>
      <c r="I26" s="286">
        <v>141.43</v>
      </c>
      <c r="J26" s="287">
        <f>+I26/H26</f>
        <v>1</v>
      </c>
      <c r="K26" s="288">
        <v>165.23</v>
      </c>
      <c r="L26" s="288">
        <v>148.85</v>
      </c>
      <c r="M26" s="287">
        <f>+L26/K26</f>
        <v>0.9008654602675059</v>
      </c>
      <c r="N26" s="288">
        <v>196.03</v>
      </c>
      <c r="O26" s="288">
        <v>196.03</v>
      </c>
      <c r="P26" s="287">
        <f t="shared" si="7"/>
        <v>1</v>
      </c>
      <c r="Q26" s="288">
        <v>226.33</v>
      </c>
      <c r="R26" s="288">
        <v>226.33</v>
      </c>
      <c r="S26" s="287">
        <f t="shared" si="8"/>
        <v>1</v>
      </c>
      <c r="T26" s="288">
        <f>(209729.1+8066.76)/1000</f>
        <v>217.79586</v>
      </c>
      <c r="U26" s="288">
        <f>(8066.76+209729.1)/1000</f>
        <v>217.79586</v>
      </c>
      <c r="V26" s="287">
        <f t="shared" si="9"/>
        <v>1</v>
      </c>
      <c r="W26" s="288">
        <f>(6816+3582.48+236252.01)/1000</f>
        <v>246.65049000000002</v>
      </c>
      <c r="X26" s="288">
        <f>(236252.01+3582.48+6816)/1000</f>
        <v>246.65049000000002</v>
      </c>
      <c r="Y26" s="290">
        <f t="shared" si="10"/>
        <v>1</v>
      </c>
      <c r="Z26" s="291">
        <f>(276800+11420.88)/1000</f>
        <v>288.22088</v>
      </c>
      <c r="AA26" s="291">
        <f>(276800+11420.88)/1000</f>
        <v>288.22088</v>
      </c>
      <c r="AB26" s="292">
        <f t="shared" si="11"/>
        <v>1</v>
      </c>
    </row>
    <row r="27" spans="1:28" ht="47.25">
      <c r="A27" s="142" t="s">
        <v>516</v>
      </c>
      <c r="B27" s="49" t="s">
        <v>517</v>
      </c>
      <c r="C27" s="142"/>
      <c r="D27" s="142" t="s">
        <v>518</v>
      </c>
      <c r="E27" s="286">
        <v>205.19</v>
      </c>
      <c r="F27" s="286">
        <v>205.19</v>
      </c>
      <c r="G27" s="287">
        <f>+F27/E27</f>
        <v>1</v>
      </c>
      <c r="H27" s="286">
        <v>0</v>
      </c>
      <c r="I27" s="286">
        <v>0</v>
      </c>
      <c r="J27" s="287"/>
      <c r="K27" s="288">
        <v>71.8</v>
      </c>
      <c r="L27" s="288">
        <v>71.8</v>
      </c>
      <c r="M27" s="287">
        <f>+L27/K27</f>
        <v>1</v>
      </c>
      <c r="N27" s="288">
        <v>50</v>
      </c>
      <c r="O27" s="288">
        <v>50</v>
      </c>
      <c r="P27" s="287">
        <f t="shared" si="7"/>
        <v>1</v>
      </c>
      <c r="Q27" s="288">
        <v>47.03</v>
      </c>
      <c r="R27" s="288">
        <v>47.03</v>
      </c>
      <c r="S27" s="287">
        <f t="shared" si="8"/>
        <v>1</v>
      </c>
      <c r="T27" s="288">
        <f>(53597+7600+900)/1000</f>
        <v>62.097</v>
      </c>
      <c r="U27" s="288">
        <f>(53597+7600+900)/1000</f>
        <v>62.097</v>
      </c>
      <c r="V27" s="287">
        <f t="shared" si="9"/>
        <v>1</v>
      </c>
      <c r="W27" s="288">
        <f>(85000+900)/1000</f>
        <v>85.9</v>
      </c>
      <c r="X27" s="288">
        <f>(85000+900)/1000</f>
        <v>85.9</v>
      </c>
      <c r="Y27" s="290">
        <f t="shared" si="10"/>
        <v>1</v>
      </c>
      <c r="Z27" s="291">
        <f>(60000+22909.8+900)/1000</f>
        <v>83.80980000000001</v>
      </c>
      <c r="AA27" s="291">
        <f>(60000+900+22909.8)/1000</f>
        <v>83.80980000000001</v>
      </c>
      <c r="AB27" s="292">
        <f t="shared" si="11"/>
        <v>1</v>
      </c>
    </row>
    <row r="28" spans="1:28" ht="79.5" customHeight="1">
      <c r="A28" s="142" t="s">
        <v>519</v>
      </c>
      <c r="B28" s="49" t="s">
        <v>520</v>
      </c>
      <c r="C28" s="142"/>
      <c r="D28" s="142" t="s">
        <v>521</v>
      </c>
      <c r="E28" s="286">
        <v>0</v>
      </c>
      <c r="F28" s="286">
        <v>0</v>
      </c>
      <c r="G28" s="287"/>
      <c r="H28" s="286">
        <v>3</v>
      </c>
      <c r="I28" s="286">
        <v>2.71</v>
      </c>
      <c r="J28" s="287">
        <f>+I28/H28</f>
        <v>0.9033333333333333</v>
      </c>
      <c r="K28" s="288">
        <v>3.15</v>
      </c>
      <c r="L28" s="288">
        <v>3.02</v>
      </c>
      <c r="M28" s="287">
        <f>+L28/K28</f>
        <v>0.9587301587301588</v>
      </c>
      <c r="N28" s="288">
        <v>3.5</v>
      </c>
      <c r="O28" s="288">
        <v>3.5</v>
      </c>
      <c r="P28" s="287">
        <f t="shared" si="7"/>
        <v>1</v>
      </c>
      <c r="Q28" s="288">
        <v>2.98</v>
      </c>
      <c r="R28" s="288">
        <v>2.98</v>
      </c>
      <c r="S28" s="287">
        <f t="shared" si="8"/>
        <v>1</v>
      </c>
      <c r="T28" s="288">
        <f>3475/1000</f>
        <v>3.475</v>
      </c>
      <c r="U28" s="288">
        <f>3475/1000</f>
        <v>3.475</v>
      </c>
      <c r="V28" s="287">
        <f t="shared" si="9"/>
        <v>1</v>
      </c>
      <c r="W28" s="288">
        <f>3840/1000</f>
        <v>3.84</v>
      </c>
      <c r="X28" s="288">
        <f>3840/1000</f>
        <v>3.84</v>
      </c>
      <c r="Y28" s="290">
        <f t="shared" si="10"/>
        <v>1</v>
      </c>
      <c r="Z28" s="291">
        <f>3840/1000</f>
        <v>3.84</v>
      </c>
      <c r="AA28" s="291">
        <f>3840/1000</f>
        <v>3.84</v>
      </c>
      <c r="AB28" s="292">
        <f t="shared" si="11"/>
        <v>1</v>
      </c>
    </row>
    <row r="29" spans="1:28" ht="78.75">
      <c r="A29" s="142" t="s">
        <v>522</v>
      </c>
      <c r="B29" s="49" t="s">
        <v>523</v>
      </c>
      <c r="C29" s="142"/>
      <c r="D29" s="142" t="s">
        <v>524</v>
      </c>
      <c r="E29" s="286">
        <v>0</v>
      </c>
      <c r="F29" s="286">
        <v>0</v>
      </c>
      <c r="G29" s="287"/>
      <c r="H29" s="286">
        <v>25</v>
      </c>
      <c r="I29" s="286">
        <v>25</v>
      </c>
      <c r="J29" s="287">
        <f>+I29/H29</f>
        <v>1</v>
      </c>
      <c r="K29" s="288">
        <v>15</v>
      </c>
      <c r="L29" s="288">
        <v>15</v>
      </c>
      <c r="M29" s="287">
        <f>+L29/K29</f>
        <v>1</v>
      </c>
      <c r="N29" s="288">
        <v>64.85</v>
      </c>
      <c r="O29" s="288">
        <v>64.85</v>
      </c>
      <c r="P29" s="287">
        <f t="shared" si="7"/>
        <v>1</v>
      </c>
      <c r="Q29" s="288">
        <v>30</v>
      </c>
      <c r="R29" s="288">
        <v>30</v>
      </c>
      <c r="S29" s="287">
        <f t="shared" si="8"/>
        <v>1</v>
      </c>
      <c r="T29" s="288">
        <f>15000/1000</f>
        <v>15</v>
      </c>
      <c r="U29" s="288">
        <f>15000/1000</f>
        <v>15</v>
      </c>
      <c r="V29" s="287">
        <f t="shared" si="9"/>
        <v>1</v>
      </c>
      <c r="W29" s="288">
        <v>0</v>
      </c>
      <c r="X29" s="288">
        <f>0/1000</f>
        <v>0</v>
      </c>
      <c r="Y29" s="290"/>
      <c r="Z29" s="291">
        <f>22500/1000</f>
        <v>22.5</v>
      </c>
      <c r="AA29" s="291">
        <f>22500/1000</f>
        <v>22.5</v>
      </c>
      <c r="AB29" s="292">
        <f t="shared" si="11"/>
        <v>1</v>
      </c>
    </row>
    <row r="30" spans="1:28" ht="47.25">
      <c r="A30" s="142" t="s">
        <v>525</v>
      </c>
      <c r="B30" s="49" t="s">
        <v>526</v>
      </c>
      <c r="C30" s="142"/>
      <c r="D30" s="142" t="s">
        <v>527</v>
      </c>
      <c r="E30" s="286">
        <v>0</v>
      </c>
      <c r="F30" s="286">
        <v>0</v>
      </c>
      <c r="G30" s="287"/>
      <c r="H30" s="286">
        <v>0</v>
      </c>
      <c r="I30" s="286">
        <v>0</v>
      </c>
      <c r="J30" s="287"/>
      <c r="K30" s="288">
        <v>0</v>
      </c>
      <c r="L30" s="288">
        <v>0</v>
      </c>
      <c r="M30" s="287"/>
      <c r="N30" s="288">
        <v>202</v>
      </c>
      <c r="O30" s="288">
        <v>201.98</v>
      </c>
      <c r="P30" s="287">
        <f t="shared" si="7"/>
        <v>0.9999009900990099</v>
      </c>
      <c r="Q30" s="288">
        <v>166.74</v>
      </c>
      <c r="R30" s="288">
        <v>166.74</v>
      </c>
      <c r="S30" s="287">
        <f t="shared" si="8"/>
        <v>1</v>
      </c>
      <c r="T30" s="288">
        <f>120592.82/1000</f>
        <v>120.59282</v>
      </c>
      <c r="U30" s="288">
        <f>120592.82/1000</f>
        <v>120.59282</v>
      </c>
      <c r="V30" s="287">
        <f t="shared" si="9"/>
        <v>1</v>
      </c>
      <c r="W30" s="288">
        <f>(84999+3000+12446.75)/1000</f>
        <v>100.44575</v>
      </c>
      <c r="X30" s="288">
        <f>(12446.75+3000+84999)/1000</f>
        <v>100.44575</v>
      </c>
      <c r="Y30" s="290">
        <f t="shared" si="10"/>
        <v>1</v>
      </c>
      <c r="Z30" s="291">
        <f>(3934.12+63440.65+3500+1753.13)/1000</f>
        <v>72.62790000000001</v>
      </c>
      <c r="AA30" s="291">
        <f>(3934.12+63440.65+3500+1753.13)/1000</f>
        <v>72.62790000000001</v>
      </c>
      <c r="AB30" s="292">
        <f t="shared" si="11"/>
        <v>1</v>
      </c>
    </row>
    <row r="31" spans="1:28" ht="31.5">
      <c r="A31" s="142" t="s">
        <v>528</v>
      </c>
      <c r="B31" s="49" t="s">
        <v>529</v>
      </c>
      <c r="C31" s="142"/>
      <c r="D31" s="142" t="s">
        <v>530</v>
      </c>
      <c r="E31" s="286">
        <v>151.11</v>
      </c>
      <c r="F31" s="286">
        <v>151.11</v>
      </c>
      <c r="G31" s="287">
        <f>+F31/E31</f>
        <v>1</v>
      </c>
      <c r="H31" s="286">
        <v>158.5</v>
      </c>
      <c r="I31" s="286">
        <v>148.56</v>
      </c>
      <c r="J31" s="287">
        <f>+I31/H31</f>
        <v>0.9372870662460568</v>
      </c>
      <c r="K31" s="288">
        <v>172.41</v>
      </c>
      <c r="L31" s="288">
        <v>172.4</v>
      </c>
      <c r="M31" s="287">
        <f>+L31/K31</f>
        <v>0.9999419987239719</v>
      </c>
      <c r="N31" s="288">
        <v>194.2</v>
      </c>
      <c r="O31" s="288">
        <v>193.88</v>
      </c>
      <c r="P31" s="287">
        <f t="shared" si="7"/>
        <v>0.9983522142121525</v>
      </c>
      <c r="Q31" s="288">
        <v>163.56</v>
      </c>
      <c r="R31" s="288">
        <v>163.56</v>
      </c>
      <c r="S31" s="287">
        <f t="shared" si="8"/>
        <v>1</v>
      </c>
      <c r="T31" s="288">
        <f>(165712.32+960)/1000</f>
        <v>166.67232</v>
      </c>
      <c r="U31" s="288">
        <f>(960+165712.32)/1000</f>
        <v>166.67232</v>
      </c>
      <c r="V31" s="287">
        <f t="shared" si="9"/>
        <v>1</v>
      </c>
      <c r="W31" s="288">
        <f>(1180+175505.62+21196.8)/1000</f>
        <v>197.88242</v>
      </c>
      <c r="X31" s="288">
        <f>(1180+175505.62+21196.8)/1000</f>
        <v>197.88242</v>
      </c>
      <c r="Y31" s="290">
        <f t="shared" si="10"/>
        <v>1</v>
      </c>
      <c r="Z31" s="291">
        <f>(185817.43+5520+1200+21196.8+2400+10000)/1000</f>
        <v>226.13422999999997</v>
      </c>
      <c r="AA31" s="291">
        <f>(185817.43+5520+1200+19430.4+2400+10000)/1000</f>
        <v>224.36783</v>
      </c>
      <c r="AB31" s="292">
        <f t="shared" si="11"/>
        <v>0.9921887102187051</v>
      </c>
    </row>
    <row r="32" spans="1:28" ht="15.75">
      <c r="A32" s="169" t="s">
        <v>531</v>
      </c>
      <c r="B32" s="69" t="s">
        <v>532</v>
      </c>
      <c r="C32" s="169">
        <v>226</v>
      </c>
      <c r="D32" s="169">
        <v>22600</v>
      </c>
      <c r="E32" s="283">
        <f>SUM(E33:E39)</f>
        <v>1943.23</v>
      </c>
      <c r="F32" s="283">
        <f aca="true" t="shared" si="12" ref="F32:O32">SUM(F33:F39)</f>
        <v>1609.21</v>
      </c>
      <c r="G32" s="284">
        <f>+F32/E32</f>
        <v>0.8281109287114752</v>
      </c>
      <c r="H32" s="283">
        <f t="shared" si="12"/>
        <v>1185.4</v>
      </c>
      <c r="I32" s="283">
        <f t="shared" si="12"/>
        <v>1151.24</v>
      </c>
      <c r="J32" s="284">
        <f>+I32/H32</f>
        <v>0.9711827231314324</v>
      </c>
      <c r="K32" s="283">
        <f t="shared" si="12"/>
        <v>1290.6799999999998</v>
      </c>
      <c r="L32" s="283">
        <f t="shared" si="12"/>
        <v>1194.13</v>
      </c>
      <c r="M32" s="284">
        <f>+L32/K32</f>
        <v>0.9251944711314968</v>
      </c>
      <c r="N32" s="283">
        <f t="shared" si="12"/>
        <v>1440.6599999999999</v>
      </c>
      <c r="O32" s="283">
        <f t="shared" si="12"/>
        <v>1263.93</v>
      </c>
      <c r="P32" s="284">
        <f t="shared" si="7"/>
        <v>0.8773270584315523</v>
      </c>
      <c r="Q32" s="283">
        <f>SUM(Q33:Q39)</f>
        <v>1240.49</v>
      </c>
      <c r="R32" s="283">
        <f>SUM(R33:R39)</f>
        <v>1177.63</v>
      </c>
      <c r="S32" s="284">
        <f t="shared" si="8"/>
        <v>0.9493264758281003</v>
      </c>
      <c r="T32" s="283">
        <f>SUM(T33:T39)</f>
        <v>1140.70905</v>
      </c>
      <c r="U32" s="283">
        <f>SUM(U33:U39)</f>
        <v>1060.5498699999998</v>
      </c>
      <c r="V32" s="284">
        <f t="shared" si="9"/>
        <v>0.9297286367632481</v>
      </c>
      <c r="W32" s="283">
        <f>SUM(W33:W39)</f>
        <v>1416.86198</v>
      </c>
      <c r="X32" s="283">
        <f>SUM(X33:X39)</f>
        <v>1331.04063</v>
      </c>
      <c r="Y32" s="285">
        <f t="shared" si="10"/>
        <v>0.9394285744049679</v>
      </c>
      <c r="Z32" s="298">
        <f>SUM(Z33:Z39)</f>
        <v>1255.09462</v>
      </c>
      <c r="AA32" s="298">
        <f>SUM(AA33:AA39)</f>
        <v>1142.13327</v>
      </c>
      <c r="AB32" s="284">
        <f t="shared" si="11"/>
        <v>0.9099977418435592</v>
      </c>
    </row>
    <row r="33" spans="1:28" ht="31.5">
      <c r="A33" s="142" t="s">
        <v>533</v>
      </c>
      <c r="B33" s="49" t="s">
        <v>534</v>
      </c>
      <c r="C33" s="142"/>
      <c r="D33" s="142" t="s">
        <v>535</v>
      </c>
      <c r="E33" s="286">
        <v>40</v>
      </c>
      <c r="F33" s="286">
        <v>40</v>
      </c>
      <c r="G33" s="287">
        <f>+F33/E33</f>
        <v>1</v>
      </c>
      <c r="H33" s="286">
        <v>0</v>
      </c>
      <c r="I33" s="286">
        <v>0</v>
      </c>
      <c r="J33" s="287"/>
      <c r="K33" s="288">
        <v>0</v>
      </c>
      <c r="L33" s="288">
        <v>0</v>
      </c>
      <c r="M33" s="287"/>
      <c r="N33" s="288">
        <v>0</v>
      </c>
      <c r="O33" s="288">
        <v>0</v>
      </c>
      <c r="P33" s="287"/>
      <c r="Q33" s="288"/>
      <c r="R33" s="288"/>
      <c r="S33" s="287"/>
      <c r="T33" s="288"/>
      <c r="U33" s="288"/>
      <c r="V33" s="287"/>
      <c r="W33" s="288"/>
      <c r="X33" s="288"/>
      <c r="Y33" s="290"/>
      <c r="Z33" s="291"/>
      <c r="AA33" s="291"/>
      <c r="AB33" s="293"/>
    </row>
    <row r="34" spans="1:28" ht="15.75">
      <c r="A34" s="142" t="s">
        <v>536</v>
      </c>
      <c r="B34" s="49" t="s">
        <v>537</v>
      </c>
      <c r="C34" s="142"/>
      <c r="D34" s="142" t="s">
        <v>538</v>
      </c>
      <c r="E34" s="286">
        <v>0</v>
      </c>
      <c r="F34" s="286">
        <v>0</v>
      </c>
      <c r="G34" s="287"/>
      <c r="H34" s="286">
        <v>0</v>
      </c>
      <c r="I34" s="286">
        <v>0</v>
      </c>
      <c r="J34" s="287"/>
      <c r="K34" s="288">
        <v>0</v>
      </c>
      <c r="L34" s="288">
        <v>0</v>
      </c>
      <c r="M34" s="287"/>
      <c r="N34" s="288">
        <v>0</v>
      </c>
      <c r="O34" s="288">
        <v>0</v>
      </c>
      <c r="P34" s="287"/>
      <c r="Q34" s="288"/>
      <c r="R34" s="288"/>
      <c r="S34" s="287"/>
      <c r="T34" s="288"/>
      <c r="U34" s="288"/>
      <c r="V34" s="287"/>
      <c r="W34" s="288"/>
      <c r="X34" s="288"/>
      <c r="Y34" s="290"/>
      <c r="Z34" s="291"/>
      <c r="AA34" s="291"/>
      <c r="AB34" s="293"/>
    </row>
    <row r="35" spans="1:28" ht="15.75">
      <c r="A35" s="142" t="s">
        <v>539</v>
      </c>
      <c r="B35" s="49" t="s">
        <v>323</v>
      </c>
      <c r="C35" s="142"/>
      <c r="D35" s="142" t="s">
        <v>540</v>
      </c>
      <c r="E35" s="286">
        <v>560.8</v>
      </c>
      <c r="F35" s="286">
        <v>560.8</v>
      </c>
      <c r="G35" s="287">
        <f>+F35/E35</f>
        <v>1</v>
      </c>
      <c r="H35" s="286">
        <v>378.75</v>
      </c>
      <c r="I35" s="286">
        <v>374.57</v>
      </c>
      <c r="J35" s="287">
        <f>+I35/H35</f>
        <v>0.988963696369637</v>
      </c>
      <c r="K35" s="288">
        <v>415</v>
      </c>
      <c r="L35" s="288">
        <v>368.25</v>
      </c>
      <c r="M35" s="287">
        <f>+L35/K35</f>
        <v>0.8873493975903615</v>
      </c>
      <c r="N35" s="288">
        <v>373.29</v>
      </c>
      <c r="O35" s="288">
        <v>373.29</v>
      </c>
      <c r="P35" s="287">
        <f>+O35/N35</f>
        <v>1</v>
      </c>
      <c r="Q35" s="288">
        <v>399.21</v>
      </c>
      <c r="R35" s="288">
        <v>399.21</v>
      </c>
      <c r="S35" s="287">
        <f>+R35/Q35</f>
        <v>1</v>
      </c>
      <c r="T35" s="288">
        <f>315000/1000</f>
        <v>315</v>
      </c>
      <c r="U35" s="288">
        <f>315000/1000</f>
        <v>315</v>
      </c>
      <c r="V35" s="287">
        <f>+U35/T35</f>
        <v>1</v>
      </c>
      <c r="W35" s="288">
        <f>181387.82/1000</f>
        <v>181.38782</v>
      </c>
      <c r="X35" s="288">
        <f>181387.82/1000</f>
        <v>181.38782</v>
      </c>
      <c r="Y35" s="290">
        <f>+X35/W35</f>
        <v>1</v>
      </c>
      <c r="Z35" s="291">
        <f>156707.47/1000</f>
        <v>156.70747</v>
      </c>
      <c r="AA35" s="291">
        <v>156.71</v>
      </c>
      <c r="AB35" s="292">
        <f>AA35/Z35</f>
        <v>1.0000161447313265</v>
      </c>
    </row>
    <row r="36" spans="1:28" ht="15.75">
      <c r="A36" s="142" t="s">
        <v>541</v>
      </c>
      <c r="B36" s="49" t="s">
        <v>486</v>
      </c>
      <c r="C36" s="142"/>
      <c r="D36" s="142" t="s">
        <v>542</v>
      </c>
      <c r="E36" s="286">
        <v>0</v>
      </c>
      <c r="F36" s="286">
        <v>0</v>
      </c>
      <c r="G36" s="287"/>
      <c r="H36" s="286">
        <v>0</v>
      </c>
      <c r="I36" s="286">
        <v>0</v>
      </c>
      <c r="J36" s="287"/>
      <c r="K36" s="288">
        <v>0</v>
      </c>
      <c r="L36" s="288">
        <v>0</v>
      </c>
      <c r="M36" s="287"/>
      <c r="N36" s="288">
        <v>0</v>
      </c>
      <c r="O36" s="288">
        <v>0</v>
      </c>
      <c r="P36" s="287"/>
      <c r="Q36" s="288"/>
      <c r="R36" s="288"/>
      <c r="S36" s="287"/>
      <c r="T36" s="288"/>
      <c r="U36" s="288"/>
      <c r="V36" s="287"/>
      <c r="W36" s="288"/>
      <c r="X36" s="288"/>
      <c r="Y36" s="290"/>
      <c r="Z36" s="291"/>
      <c r="AA36" s="291"/>
      <c r="AB36" s="293"/>
    </row>
    <row r="37" spans="1:28" ht="31.5">
      <c r="A37" s="142" t="s">
        <v>543</v>
      </c>
      <c r="B37" s="49" t="s">
        <v>544</v>
      </c>
      <c r="C37" s="142"/>
      <c r="D37" s="142" t="s">
        <v>545</v>
      </c>
      <c r="E37" s="286">
        <f>163.05+20</f>
        <v>183.05</v>
      </c>
      <c r="F37" s="286">
        <f>163.05+20</f>
        <v>183.05</v>
      </c>
      <c r="G37" s="287">
        <f>+F37/E37</f>
        <v>1</v>
      </c>
      <c r="H37" s="286">
        <v>98.84</v>
      </c>
      <c r="I37" s="286">
        <v>98.84</v>
      </c>
      <c r="J37" s="287">
        <f>+I37/H37</f>
        <v>1</v>
      </c>
      <c r="K37" s="288">
        <v>140.78</v>
      </c>
      <c r="L37" s="288">
        <v>140.78</v>
      </c>
      <c r="M37" s="287">
        <f>+L37/K37</f>
        <v>1</v>
      </c>
      <c r="N37" s="288">
        <v>94.59</v>
      </c>
      <c r="O37" s="288">
        <v>94.49</v>
      </c>
      <c r="P37" s="287">
        <f>+O37/N37</f>
        <v>0.9989428057934242</v>
      </c>
      <c r="Q37" s="288">
        <v>232.8</v>
      </c>
      <c r="R37" s="288">
        <v>232.8</v>
      </c>
      <c r="S37" s="287">
        <f>+R37/Q37</f>
        <v>1</v>
      </c>
      <c r="T37" s="288">
        <f>75000/1000</f>
        <v>75</v>
      </c>
      <c r="U37" s="288">
        <f>75000/1000</f>
        <v>75</v>
      </c>
      <c r="V37" s="287">
        <f>+U37/T37</f>
        <v>1</v>
      </c>
      <c r="W37" s="288">
        <f>(23640+29664+73217.76+5100+1000+62240.67)/1000</f>
        <v>194.86243</v>
      </c>
      <c r="X37" s="288">
        <f>(23640+29664+73217.76+5100+1000+62240.67)/1000</f>
        <v>194.86243</v>
      </c>
      <c r="Y37" s="290">
        <f>+X37/W37</f>
        <v>1</v>
      </c>
      <c r="Z37" s="291">
        <v>165.54</v>
      </c>
      <c r="AA37" s="291">
        <v>165.54</v>
      </c>
      <c r="AB37" s="292">
        <f>AA37/Z37</f>
        <v>1</v>
      </c>
    </row>
    <row r="38" spans="1:28" ht="47.25">
      <c r="A38" s="142" t="s">
        <v>546</v>
      </c>
      <c r="B38" s="301" t="s">
        <v>547</v>
      </c>
      <c r="C38" s="142"/>
      <c r="D38" s="142" t="s">
        <v>548</v>
      </c>
      <c r="E38" s="286">
        <v>0</v>
      </c>
      <c r="F38" s="286">
        <v>0</v>
      </c>
      <c r="G38" s="287"/>
      <c r="H38" s="286">
        <v>0</v>
      </c>
      <c r="I38" s="286">
        <v>0</v>
      </c>
      <c r="J38" s="287"/>
      <c r="K38" s="288">
        <v>0</v>
      </c>
      <c r="L38" s="288">
        <v>0</v>
      </c>
      <c r="M38" s="287"/>
      <c r="N38" s="288">
        <v>195</v>
      </c>
      <c r="O38" s="288">
        <v>195</v>
      </c>
      <c r="P38" s="287">
        <f>+O38/N38</f>
        <v>1</v>
      </c>
      <c r="Q38" s="288"/>
      <c r="R38" s="288"/>
      <c r="S38" s="287"/>
      <c r="T38" s="288"/>
      <c r="U38" s="288"/>
      <c r="V38" s="287"/>
      <c r="W38" s="288"/>
      <c r="X38" s="288"/>
      <c r="Y38" s="290"/>
      <c r="Z38" s="291"/>
      <c r="AA38" s="291"/>
      <c r="AB38" s="293"/>
    </row>
    <row r="39" spans="1:28" ht="31.5">
      <c r="A39" s="142" t="s">
        <v>549</v>
      </c>
      <c r="B39" s="49" t="s">
        <v>550</v>
      </c>
      <c r="C39" s="142"/>
      <c r="D39" s="142" t="s">
        <v>551</v>
      </c>
      <c r="E39" s="286">
        <v>1159.38</v>
      </c>
      <c r="F39" s="286">
        <v>825.36</v>
      </c>
      <c r="G39" s="287">
        <f>+F39/E39</f>
        <v>0.7118977384464109</v>
      </c>
      <c r="H39" s="286">
        <f>47+759.65-98.84</f>
        <v>707.81</v>
      </c>
      <c r="I39" s="286">
        <f>46.99+729.68-98.84</f>
        <v>677.8299999999999</v>
      </c>
      <c r="J39" s="287">
        <f>+I39/H39</f>
        <v>0.9576440005086111</v>
      </c>
      <c r="K39" s="288">
        <v>734.9</v>
      </c>
      <c r="L39" s="288">
        <v>685.1</v>
      </c>
      <c r="M39" s="287">
        <f>+L39/K39</f>
        <v>0.9322356783235815</v>
      </c>
      <c r="N39" s="288">
        <v>777.78</v>
      </c>
      <c r="O39" s="288">
        <v>601.15</v>
      </c>
      <c r="P39" s="287">
        <f>+O39/N39</f>
        <v>0.7729049345573298</v>
      </c>
      <c r="Q39" s="288">
        <f>608.48</f>
        <v>608.48</v>
      </c>
      <c r="R39" s="288">
        <v>545.62</v>
      </c>
      <c r="S39" s="287">
        <f>R39/Q39</f>
        <v>0.8966933999474099</v>
      </c>
      <c r="T39" s="288">
        <f>(144187+606522.05)/1000</f>
        <v>750.70905</v>
      </c>
      <c r="U39" s="288">
        <f>(144187+526362.87)/1000</f>
        <v>670.5498699999999</v>
      </c>
      <c r="V39" s="287">
        <f>U39/T39</f>
        <v>0.893222041215568</v>
      </c>
      <c r="W39" s="288">
        <f>(78900+90000+193678.17+548813+102420.56+26800)/1000</f>
        <v>1040.61173</v>
      </c>
      <c r="X39" s="288">
        <f>(78900+75000+102408.84+479721.85+193678.17+25081.52)/1000</f>
        <v>954.79038</v>
      </c>
      <c r="Y39" s="290">
        <f>X39/W39</f>
        <v>0.9175279813538139</v>
      </c>
      <c r="Z39" s="291">
        <f>(12722.97+636056+265318.18+18750)/1000</f>
        <v>932.8471499999999</v>
      </c>
      <c r="AA39" s="291">
        <f>(265135.91+523277.36+12720+18750)/1000</f>
        <v>819.88327</v>
      </c>
      <c r="AB39" s="292">
        <f>AA39/Z39</f>
        <v>0.8789041913243772</v>
      </c>
    </row>
    <row r="40" spans="1:28" ht="31.5">
      <c r="A40" s="212" t="s">
        <v>552</v>
      </c>
      <c r="B40" s="279" t="s">
        <v>553</v>
      </c>
      <c r="C40" s="212">
        <v>260</v>
      </c>
      <c r="D40" s="212">
        <v>26000</v>
      </c>
      <c r="E40" s="297">
        <f>SUM(E41:E43)</f>
        <v>289119.58</v>
      </c>
      <c r="F40" s="297">
        <f>SUM(F41:F43)</f>
        <v>275608</v>
      </c>
      <c r="G40" s="281">
        <f>+F40/E40</f>
        <v>0.9532664650384453</v>
      </c>
      <c r="H40" s="297">
        <f>SUM(H41:H43)</f>
        <v>299571.29</v>
      </c>
      <c r="I40" s="297">
        <f>SUM(I41:I43)</f>
        <v>286439.63</v>
      </c>
      <c r="J40" s="281">
        <f>+I40/H40</f>
        <v>0.9561651585504072</v>
      </c>
      <c r="K40" s="297">
        <f>SUM(K41:K43)</f>
        <v>325759.92</v>
      </c>
      <c r="L40" s="297">
        <f>SUM(L41:L43)</f>
        <v>290827.76</v>
      </c>
      <c r="M40" s="281">
        <f>+L40/K40</f>
        <v>0.8927671642355512</v>
      </c>
      <c r="N40" s="297">
        <f>SUM(N41:N43)</f>
        <v>314803.82</v>
      </c>
      <c r="O40" s="297">
        <f>SUM(O41:O43)</f>
        <v>281583.00999999995</v>
      </c>
      <c r="P40" s="281">
        <f>+O40/N40</f>
        <v>0.8944713885619302</v>
      </c>
      <c r="Q40" s="297">
        <f>SUM(Q41:Q43)</f>
        <v>318451.42000000004</v>
      </c>
      <c r="R40" s="297">
        <f>SUM(R41:R43)</f>
        <v>312381.28</v>
      </c>
      <c r="S40" s="281">
        <f>+R40/Q40</f>
        <v>0.9809385682751862</v>
      </c>
      <c r="T40" s="297">
        <f>SUM(T41:T43)</f>
        <v>363221.58726</v>
      </c>
      <c r="U40" s="297">
        <f>SUM(U41:U43)</f>
        <v>355007.16735</v>
      </c>
      <c r="V40" s="281">
        <f>+U40/T40</f>
        <v>0.9773845492720674</v>
      </c>
      <c r="W40" s="297">
        <f>SUM(W41:W43)</f>
        <v>435796.11950000003</v>
      </c>
      <c r="X40" s="297">
        <f>SUM(X41:X43)</f>
        <v>426955.17208</v>
      </c>
      <c r="Y40" s="282">
        <f>+X40/W40</f>
        <v>0.9797131111902889</v>
      </c>
      <c r="Z40" s="280">
        <f>Z42+Z43</f>
        <v>450514.549</v>
      </c>
      <c r="AA40" s="280">
        <f>AA42+AA43</f>
        <v>441221.11185999995</v>
      </c>
      <c r="AB40" s="281">
        <f>AA40/Z40</f>
        <v>0.9793715049588775</v>
      </c>
    </row>
    <row r="41" spans="1:28" ht="47.25">
      <c r="A41" s="169" t="s">
        <v>554</v>
      </c>
      <c r="B41" s="69" t="s">
        <v>555</v>
      </c>
      <c r="C41" s="169">
        <v>261</v>
      </c>
      <c r="D41" s="169">
        <v>26100</v>
      </c>
      <c r="E41" s="286">
        <v>0</v>
      </c>
      <c r="F41" s="286">
        <v>0</v>
      </c>
      <c r="G41" s="287"/>
      <c r="H41" s="286">
        <v>0</v>
      </c>
      <c r="I41" s="286">
        <v>0</v>
      </c>
      <c r="J41" s="287"/>
      <c r="K41" s="288">
        <v>0</v>
      </c>
      <c r="L41" s="288">
        <v>0</v>
      </c>
      <c r="M41" s="287"/>
      <c r="N41" s="288">
        <v>0</v>
      </c>
      <c r="O41" s="288">
        <v>0</v>
      </c>
      <c r="P41" s="287"/>
      <c r="Q41" s="288"/>
      <c r="R41" s="288"/>
      <c r="S41" s="287"/>
      <c r="T41" s="288"/>
      <c r="U41" s="288"/>
      <c r="V41" s="287"/>
      <c r="W41" s="288"/>
      <c r="X41" s="288"/>
      <c r="Y41" s="290"/>
      <c r="Z41" s="291"/>
      <c r="AA41" s="291"/>
      <c r="AB41" s="293"/>
    </row>
    <row r="42" spans="1:28" ht="31.5">
      <c r="A42" s="169" t="s">
        <v>556</v>
      </c>
      <c r="B42" s="69" t="s">
        <v>557</v>
      </c>
      <c r="C42" s="169">
        <v>262</v>
      </c>
      <c r="D42" s="169">
        <v>26200</v>
      </c>
      <c r="E42" s="286">
        <v>269606.78</v>
      </c>
      <c r="F42" s="286">
        <v>256162.72</v>
      </c>
      <c r="G42" s="287">
        <f>+F42/E42</f>
        <v>0.950134562639708</v>
      </c>
      <c r="H42" s="286">
        <v>280585.79</v>
      </c>
      <c r="I42" s="286">
        <v>269022.99</v>
      </c>
      <c r="J42" s="287">
        <f>+I42/H42</f>
        <v>0.9587905004027467</v>
      </c>
      <c r="K42" s="288">
        <v>308488.51</v>
      </c>
      <c r="L42" s="288">
        <v>274063.81</v>
      </c>
      <c r="M42" s="287">
        <f>+L42/K42</f>
        <v>0.888408485619124</v>
      </c>
      <c r="N42" s="288">
        <v>294541.61</v>
      </c>
      <c r="O42" s="288">
        <v>263387.91</v>
      </c>
      <c r="P42" s="287">
        <f>+O42/N42</f>
        <v>0.8942298848709355</v>
      </c>
      <c r="Q42" s="288">
        <v>300127.58</v>
      </c>
      <c r="R42" s="288">
        <v>294060.81</v>
      </c>
      <c r="S42" s="287">
        <f>+R42/Q42</f>
        <v>0.9797860296611194</v>
      </c>
      <c r="T42" s="288">
        <f>345449051.26/1000</f>
        <v>345449.05126</v>
      </c>
      <c r="U42" s="288">
        <f>337604427.22/1000</f>
        <v>337604.42722</v>
      </c>
      <c r="V42" s="287">
        <f>+U42/T42</f>
        <v>0.9772915166176104</v>
      </c>
      <c r="W42" s="288">
        <f>399323533.5/1000</f>
        <v>399323.5335</v>
      </c>
      <c r="X42" s="288">
        <f>390495661.18/1000</f>
        <v>390495.66118</v>
      </c>
      <c r="Y42" s="290">
        <f>+X42/W42</f>
        <v>0.9778929324735127</v>
      </c>
      <c r="Z42" s="291">
        <v>406339.04</v>
      </c>
      <c r="AA42" s="291">
        <f>398631118.4/1000</f>
        <v>398631.1184</v>
      </c>
      <c r="AB42" s="292">
        <f>AA42/Z42</f>
        <v>0.9810308121021303</v>
      </c>
    </row>
    <row r="43" spans="1:28" ht="47.25">
      <c r="A43" s="169" t="s">
        <v>558</v>
      </c>
      <c r="B43" s="69" t="s">
        <v>559</v>
      </c>
      <c r="C43" s="169">
        <v>263</v>
      </c>
      <c r="D43" s="169" t="s">
        <v>560</v>
      </c>
      <c r="E43" s="286">
        <v>19512.8</v>
      </c>
      <c r="F43" s="286">
        <v>19445.28</v>
      </c>
      <c r="G43" s="287">
        <f>+F43/E43</f>
        <v>0.9965397072690746</v>
      </c>
      <c r="H43" s="286">
        <v>18985.5</v>
      </c>
      <c r="I43" s="286">
        <v>17416.64</v>
      </c>
      <c r="J43" s="287">
        <f>+I43/H43</f>
        <v>0.9173653577730373</v>
      </c>
      <c r="K43" s="288">
        <v>17271.41</v>
      </c>
      <c r="L43" s="288">
        <v>16763.95</v>
      </c>
      <c r="M43" s="287">
        <f>+L43/K43</f>
        <v>0.9706184961158354</v>
      </c>
      <c r="N43" s="288">
        <v>20262.21</v>
      </c>
      <c r="O43" s="288">
        <v>18195.1</v>
      </c>
      <c r="P43" s="287">
        <f>+O43/N43</f>
        <v>0.8979820068985565</v>
      </c>
      <c r="Q43" s="288">
        <v>18323.84</v>
      </c>
      <c r="R43" s="288">
        <v>18320.47</v>
      </c>
      <c r="S43" s="287">
        <f>+R43/Q43</f>
        <v>0.9998160865844714</v>
      </c>
      <c r="T43" s="288">
        <f>17772536/1000</f>
        <v>17772.536</v>
      </c>
      <c r="U43" s="288">
        <f>17402740.13/1000</f>
        <v>17402.74013</v>
      </c>
      <c r="V43" s="287">
        <f>+U43/T43</f>
        <v>0.9791928473235333</v>
      </c>
      <c r="W43" s="288">
        <f>36472586/1000</f>
        <v>36472.586</v>
      </c>
      <c r="X43" s="288">
        <f>36459510.9/1000</f>
        <v>36459.5109</v>
      </c>
      <c r="Y43" s="290">
        <f>+X43/W43</f>
        <v>0.9996415088307694</v>
      </c>
      <c r="Z43" s="291">
        <f>44175509/1000</f>
        <v>44175.509</v>
      </c>
      <c r="AA43" s="291">
        <f>42589993.46/1000</f>
        <v>42589.99346</v>
      </c>
      <c r="AB43" s="292">
        <f>AA43/Z43</f>
        <v>0.9641087205129883</v>
      </c>
    </row>
    <row r="44" spans="1:28" ht="15.75">
      <c r="A44" s="212" t="s">
        <v>561</v>
      </c>
      <c r="B44" s="279" t="s">
        <v>562</v>
      </c>
      <c r="C44" s="212">
        <v>290</v>
      </c>
      <c r="D44" s="212">
        <v>29000</v>
      </c>
      <c r="E44" s="297">
        <f>SUM(E45:E48)</f>
        <v>8.5</v>
      </c>
      <c r="F44" s="297">
        <f>SUM(F45:F48)</f>
        <v>8.31</v>
      </c>
      <c r="G44" s="281">
        <f>+F44/E44</f>
        <v>0.9776470588235294</v>
      </c>
      <c r="H44" s="297">
        <f>SUM(H45:H48)</f>
        <v>20.54</v>
      </c>
      <c r="I44" s="297">
        <f>SUM(I45:I48)</f>
        <v>19.91</v>
      </c>
      <c r="J44" s="281">
        <f>+I44/H44</f>
        <v>0.9693281402142162</v>
      </c>
      <c r="K44" s="297">
        <f>SUM(K45:K48)</f>
        <v>5.47</v>
      </c>
      <c r="L44" s="297">
        <f>SUM(L45:L48)</f>
        <v>4.29</v>
      </c>
      <c r="M44" s="281">
        <f>+L44/K44</f>
        <v>0.7842778793418648</v>
      </c>
      <c r="N44" s="297">
        <f>SUM(N45:N48)</f>
        <v>153.47</v>
      </c>
      <c r="O44" s="297">
        <f>SUM(O45:O48)</f>
        <v>153.47</v>
      </c>
      <c r="P44" s="281">
        <f>+O44/N44</f>
        <v>1</v>
      </c>
      <c r="Q44" s="297">
        <f>SUM(Q45:Q48)</f>
        <v>16.51</v>
      </c>
      <c r="R44" s="297">
        <f>SUM(R45:R48)</f>
        <v>14.2</v>
      </c>
      <c r="S44" s="281">
        <f>+R44/Q44</f>
        <v>0.8600847970926709</v>
      </c>
      <c r="T44" s="297">
        <f>SUM(T45:T48)</f>
        <v>22.21</v>
      </c>
      <c r="U44" s="297">
        <f>SUM(U45:U48)</f>
        <v>18.01</v>
      </c>
      <c r="V44" s="281">
        <f>+U44/T44</f>
        <v>0.8108959927960379</v>
      </c>
      <c r="W44" s="297">
        <f>SUM(W45:W48)</f>
        <v>8.345279999999999</v>
      </c>
      <c r="X44" s="297">
        <f>SUM(X45:X48)</f>
        <v>7.54528</v>
      </c>
      <c r="Y44" s="282">
        <f>+X44/W44</f>
        <v>0.9041374285823844</v>
      </c>
      <c r="Z44" s="280">
        <f>SUM(Z45:Z48)</f>
        <v>25.119459999999997</v>
      </c>
      <c r="AA44" s="280">
        <f>SUM(AA45:AA48)</f>
        <v>22.36961</v>
      </c>
      <c r="AB44" s="281">
        <f>AA44/Z44</f>
        <v>0.8905290957687787</v>
      </c>
    </row>
    <row r="45" spans="1:28" ht="63">
      <c r="A45" s="142" t="s">
        <v>563</v>
      </c>
      <c r="B45" s="49" t="s">
        <v>564</v>
      </c>
      <c r="C45" s="142"/>
      <c r="D45" s="142" t="s">
        <v>565</v>
      </c>
      <c r="E45" s="286">
        <v>8.5</v>
      </c>
      <c r="F45" s="286">
        <v>8.31</v>
      </c>
      <c r="G45" s="287">
        <f>+F45/E45</f>
        <v>0.9776470588235294</v>
      </c>
      <c r="H45" s="286">
        <v>20.54</v>
      </c>
      <c r="I45" s="286">
        <v>19.91</v>
      </c>
      <c r="J45" s="287">
        <f>+I45/H45</f>
        <v>0.9693281402142162</v>
      </c>
      <c r="K45" s="288">
        <v>5.47</v>
      </c>
      <c r="L45" s="288">
        <v>4.29</v>
      </c>
      <c r="M45" s="287">
        <f>+L45/K45</f>
        <v>0.7842778793418648</v>
      </c>
      <c r="N45" s="288">
        <v>3.47</v>
      </c>
      <c r="O45" s="288">
        <v>3.47</v>
      </c>
      <c r="P45" s="287">
        <f>+O45/N45</f>
        <v>1</v>
      </c>
      <c r="Q45" s="288">
        <v>16.51</v>
      </c>
      <c r="R45" s="288">
        <v>14.2</v>
      </c>
      <c r="S45" s="287">
        <f>+R45/Q45</f>
        <v>0.8600847970926709</v>
      </c>
      <c r="T45" s="288">
        <f>13210/1000</f>
        <v>13.21</v>
      </c>
      <c r="U45" s="288">
        <f>13210/1000</f>
        <v>13.21</v>
      </c>
      <c r="V45" s="287">
        <f>+U45/T45</f>
        <v>1</v>
      </c>
      <c r="W45" s="288">
        <f>5145.28/1000</f>
        <v>5.14528</v>
      </c>
      <c r="X45" s="288">
        <f>4345.28/1000</f>
        <v>4.34528</v>
      </c>
      <c r="Y45" s="290">
        <f>+X45/W45</f>
        <v>0.8445176938864357</v>
      </c>
      <c r="Z45" s="291">
        <f>13119.46/1000</f>
        <v>13.119459999999998</v>
      </c>
      <c r="AA45" s="291">
        <f>11589.61/1000</f>
        <v>11.58961</v>
      </c>
      <c r="AB45" s="292">
        <f>AA45/Z45</f>
        <v>0.8833907798034372</v>
      </c>
    </row>
    <row r="46" spans="1:28" ht="15.75">
      <c r="A46" s="142" t="s">
        <v>566</v>
      </c>
      <c r="B46" s="49" t="s">
        <v>567</v>
      </c>
      <c r="C46" s="142"/>
      <c r="D46" s="142" t="s">
        <v>568</v>
      </c>
      <c r="E46" s="286">
        <v>0</v>
      </c>
      <c r="F46" s="286">
        <v>0</v>
      </c>
      <c r="G46" s="287"/>
      <c r="H46" s="286">
        <v>0</v>
      </c>
      <c r="I46" s="286">
        <v>0</v>
      </c>
      <c r="J46" s="287"/>
      <c r="K46" s="288">
        <v>0</v>
      </c>
      <c r="L46" s="288">
        <v>0</v>
      </c>
      <c r="M46" s="287"/>
      <c r="N46" s="288">
        <v>0</v>
      </c>
      <c r="O46" s="288">
        <v>0</v>
      </c>
      <c r="P46" s="287"/>
      <c r="Q46" s="288"/>
      <c r="R46" s="288"/>
      <c r="S46" s="287"/>
      <c r="T46" s="288"/>
      <c r="U46" s="288"/>
      <c r="V46" s="287"/>
      <c r="W46" s="288"/>
      <c r="X46" s="288"/>
      <c r="Y46" s="290"/>
      <c r="Z46" s="291"/>
      <c r="AA46" s="291"/>
      <c r="AB46" s="293"/>
    </row>
    <row r="47" spans="1:28" ht="78.75">
      <c r="A47" s="142" t="s">
        <v>569</v>
      </c>
      <c r="B47" s="49" t="s">
        <v>570</v>
      </c>
      <c r="C47" s="142"/>
      <c r="D47" s="142" t="s">
        <v>571</v>
      </c>
      <c r="E47" s="286">
        <v>0</v>
      </c>
      <c r="F47" s="286">
        <v>0</v>
      </c>
      <c r="G47" s="287"/>
      <c r="H47" s="286">
        <v>0</v>
      </c>
      <c r="I47" s="286">
        <v>0</v>
      </c>
      <c r="J47" s="287"/>
      <c r="K47" s="288">
        <v>0</v>
      </c>
      <c r="L47" s="288">
        <v>0</v>
      </c>
      <c r="M47" s="287"/>
      <c r="N47" s="288">
        <v>0</v>
      </c>
      <c r="O47" s="288">
        <v>0</v>
      </c>
      <c r="P47" s="287"/>
      <c r="Q47" s="288"/>
      <c r="R47" s="288"/>
      <c r="S47" s="287"/>
      <c r="T47" s="288"/>
      <c r="U47" s="288"/>
      <c r="V47" s="287"/>
      <c r="W47" s="288"/>
      <c r="X47" s="288"/>
      <c r="Y47" s="290"/>
      <c r="Z47" s="291"/>
      <c r="AA47" s="291"/>
      <c r="AB47" s="293"/>
    </row>
    <row r="48" spans="1:28" ht="15.75">
      <c r="A48" s="142" t="s">
        <v>572</v>
      </c>
      <c r="B48" s="49" t="s">
        <v>573</v>
      </c>
      <c r="C48" s="142"/>
      <c r="D48" s="142" t="s">
        <v>574</v>
      </c>
      <c r="E48" s="286">
        <v>0</v>
      </c>
      <c r="F48" s="286">
        <v>0</v>
      </c>
      <c r="G48" s="287"/>
      <c r="H48" s="286">
        <v>0</v>
      </c>
      <c r="I48" s="286">
        <v>0</v>
      </c>
      <c r="J48" s="287"/>
      <c r="K48" s="288">
        <v>0</v>
      </c>
      <c r="L48" s="288">
        <v>0</v>
      </c>
      <c r="M48" s="287"/>
      <c r="N48" s="288">
        <v>150</v>
      </c>
      <c r="O48" s="288">
        <v>150</v>
      </c>
      <c r="P48" s="287">
        <f>+O48/N48</f>
        <v>1</v>
      </c>
      <c r="Q48" s="288"/>
      <c r="R48" s="288"/>
      <c r="S48" s="287"/>
      <c r="T48" s="288">
        <v>9</v>
      </c>
      <c r="U48" s="288">
        <f>4800/1000</f>
        <v>4.8</v>
      </c>
      <c r="V48" s="287">
        <f>+U48/T48</f>
        <v>0.5333333333333333</v>
      </c>
      <c r="W48" s="288">
        <v>3.2</v>
      </c>
      <c r="X48" s="288">
        <f>3200/1000</f>
        <v>3.2</v>
      </c>
      <c r="Y48" s="290">
        <f>+X48/W48</f>
        <v>1</v>
      </c>
      <c r="Z48" s="291">
        <f>12000/1000</f>
        <v>12</v>
      </c>
      <c r="AA48" s="291">
        <f>10780/1000</f>
        <v>10.78</v>
      </c>
      <c r="AB48" s="292">
        <f>AA48/Z48</f>
        <v>0.8983333333333333</v>
      </c>
    </row>
    <row r="49" spans="1:28" ht="31.5">
      <c r="A49" s="273" t="s">
        <v>6</v>
      </c>
      <c r="B49" s="274" t="s">
        <v>575</v>
      </c>
      <c r="C49" s="273">
        <v>300</v>
      </c>
      <c r="D49" s="273">
        <v>30000</v>
      </c>
      <c r="E49" s="275">
        <f>+E50+E57+E58</f>
        <v>302.59000000000003</v>
      </c>
      <c r="F49" s="275">
        <f>+F50+F57+F58</f>
        <v>289.4</v>
      </c>
      <c r="G49" s="276">
        <f>+F49/E49</f>
        <v>0.9564096632406885</v>
      </c>
      <c r="H49" s="275">
        <f>+H50+H57+H58</f>
        <v>739</v>
      </c>
      <c r="I49" s="275">
        <f>+I50+I57+I58</f>
        <v>709.4200000000001</v>
      </c>
      <c r="J49" s="276">
        <f>+I49/H49</f>
        <v>0.9599729364005414</v>
      </c>
      <c r="K49" s="275">
        <f>+K50+K57+K58</f>
        <v>586.04</v>
      </c>
      <c r="L49" s="275">
        <f>+L50+L57+L58</f>
        <v>578.02</v>
      </c>
      <c r="M49" s="276">
        <f>+L49/K49</f>
        <v>0.9863149273087162</v>
      </c>
      <c r="N49" s="275">
        <f>+N50+N57+N58</f>
        <v>493.8</v>
      </c>
      <c r="O49" s="275">
        <f>+O50+O57+O58</f>
        <v>493.8</v>
      </c>
      <c r="P49" s="276">
        <f>+O49/N49</f>
        <v>1</v>
      </c>
      <c r="Q49" s="275">
        <f>+Q50+Q57+Q58</f>
        <v>725.3499999999999</v>
      </c>
      <c r="R49" s="275">
        <f>+R50+R57+R58</f>
        <v>721.04</v>
      </c>
      <c r="S49" s="276">
        <f>+R49/Q49</f>
        <v>0.9940580409457505</v>
      </c>
      <c r="T49" s="275">
        <f>+T50+T57+T58</f>
        <v>792.36461</v>
      </c>
      <c r="U49" s="275">
        <f>+U50+U57+U58</f>
        <v>792.36461</v>
      </c>
      <c r="V49" s="276">
        <f>+U49/T49</f>
        <v>1</v>
      </c>
      <c r="W49" s="275">
        <f>+W50+W57+W58</f>
        <v>1016.2521099999999</v>
      </c>
      <c r="X49" s="275">
        <f>+X50+X57+X58</f>
        <v>1016.1192000000001</v>
      </c>
      <c r="Y49" s="277">
        <f>+X49/W49</f>
        <v>0.9998692155236953</v>
      </c>
      <c r="Z49" s="275">
        <f>+Z50+Z57+Z58</f>
        <v>1291.24937</v>
      </c>
      <c r="AA49" s="275">
        <f>+AA50+AA57+AA58</f>
        <v>1168.7728299999999</v>
      </c>
      <c r="AB49" s="276">
        <f>AA49/Z49</f>
        <v>0.9051488094820909</v>
      </c>
    </row>
    <row r="50" spans="1:28" ht="31.5">
      <c r="A50" s="212" t="s">
        <v>576</v>
      </c>
      <c r="B50" s="279" t="s">
        <v>577</v>
      </c>
      <c r="C50" s="212">
        <v>310</v>
      </c>
      <c r="D50" s="212">
        <v>31000</v>
      </c>
      <c r="E50" s="297">
        <f>SUM(E51:E56)</f>
        <v>50</v>
      </c>
      <c r="F50" s="297">
        <f>SUM(F51:F56)</f>
        <v>50</v>
      </c>
      <c r="G50" s="281">
        <f>+F50/E50</f>
        <v>1</v>
      </c>
      <c r="H50" s="297">
        <f>SUM(H51:H56)</f>
        <v>400</v>
      </c>
      <c r="I50" s="297">
        <f>SUM(I51:I56)</f>
        <v>370.42</v>
      </c>
      <c r="J50" s="281">
        <f>+I50/H50</f>
        <v>0.92605</v>
      </c>
      <c r="K50" s="297">
        <f>SUM(K51:K56)</f>
        <v>95.1</v>
      </c>
      <c r="L50" s="297">
        <f>SUM(L51:L56)</f>
        <v>95.1</v>
      </c>
      <c r="M50" s="281">
        <f>+L50/K50</f>
        <v>1</v>
      </c>
      <c r="N50" s="297">
        <f>SUM(N51:N56)</f>
        <v>0</v>
      </c>
      <c r="O50" s="297">
        <f>SUM(O51:O56)</f>
        <v>0</v>
      </c>
      <c r="P50" s="281"/>
      <c r="Q50" s="297">
        <f>SUM(Q51:Q56)</f>
        <v>210.82</v>
      </c>
      <c r="R50" s="297">
        <f>SUM(R51:R56)</f>
        <v>210.62</v>
      </c>
      <c r="S50" s="281"/>
      <c r="T50" s="297">
        <f>SUM(T51:T56)</f>
        <v>232.72400000000002</v>
      </c>
      <c r="U50" s="297">
        <f>SUM(U51:U56)</f>
        <v>232.72400000000002</v>
      </c>
      <c r="V50" s="281"/>
      <c r="W50" s="297">
        <f>SUM(W51:W56)</f>
        <v>533.1644799999999</v>
      </c>
      <c r="X50" s="297">
        <f>SUM(X51:X56)</f>
        <v>533.05448</v>
      </c>
      <c r="Y50" s="282"/>
      <c r="Z50" s="280">
        <f>SUM(Z51:Z56)</f>
        <v>775.1397</v>
      </c>
      <c r="AA50" s="280">
        <f>SUM(AA51:AA56)</f>
        <v>652.6631600000001</v>
      </c>
      <c r="AB50" s="281">
        <f>AA50/Z50</f>
        <v>0.8419942366517934</v>
      </c>
    </row>
    <row r="51" spans="1:28" ht="31.5">
      <c r="A51" s="142" t="s">
        <v>578</v>
      </c>
      <c r="B51" s="49" t="s">
        <v>579</v>
      </c>
      <c r="C51" s="142"/>
      <c r="D51" s="142" t="s">
        <v>580</v>
      </c>
      <c r="E51" s="286">
        <v>0</v>
      </c>
      <c r="F51" s="286">
        <v>0</v>
      </c>
      <c r="G51" s="287"/>
      <c r="H51" s="286">
        <v>0</v>
      </c>
      <c r="I51" s="286">
        <v>0</v>
      </c>
      <c r="J51" s="287"/>
      <c r="K51" s="288">
        <v>0</v>
      </c>
      <c r="L51" s="288">
        <v>0</v>
      </c>
      <c r="M51" s="287"/>
      <c r="N51" s="288">
        <v>0</v>
      </c>
      <c r="O51" s="288">
        <v>0</v>
      </c>
      <c r="P51" s="287"/>
      <c r="Q51" s="288">
        <v>0</v>
      </c>
      <c r="R51" s="288">
        <v>0</v>
      </c>
      <c r="S51" s="287"/>
      <c r="T51" s="288">
        <v>0</v>
      </c>
      <c r="U51" s="288">
        <v>0</v>
      </c>
      <c r="V51" s="287"/>
      <c r="W51" s="288">
        <v>0</v>
      </c>
      <c r="X51" s="288">
        <v>0</v>
      </c>
      <c r="Y51" s="290"/>
      <c r="Z51" s="291"/>
      <c r="AA51" s="291"/>
      <c r="AB51" s="293"/>
    </row>
    <row r="52" spans="1:28" ht="15.75">
      <c r="A52" s="142" t="s">
        <v>581</v>
      </c>
      <c r="B52" s="49" t="s">
        <v>582</v>
      </c>
      <c r="C52" s="142"/>
      <c r="D52" s="142" t="s">
        <v>583</v>
      </c>
      <c r="E52" s="286">
        <v>0</v>
      </c>
      <c r="F52" s="286">
        <v>0</v>
      </c>
      <c r="G52" s="287"/>
      <c r="H52" s="286">
        <v>0</v>
      </c>
      <c r="I52" s="286">
        <v>0</v>
      </c>
      <c r="J52" s="287"/>
      <c r="K52" s="288">
        <v>0</v>
      </c>
      <c r="L52" s="288">
        <v>0</v>
      </c>
      <c r="M52" s="287"/>
      <c r="N52" s="288">
        <v>0</v>
      </c>
      <c r="O52" s="288">
        <v>0</v>
      </c>
      <c r="P52" s="287"/>
      <c r="Q52" s="288">
        <v>0</v>
      </c>
      <c r="R52" s="288">
        <v>0</v>
      </c>
      <c r="S52" s="287"/>
      <c r="T52" s="288">
        <v>0</v>
      </c>
      <c r="U52" s="288">
        <v>0</v>
      </c>
      <c r="V52" s="287"/>
      <c r="W52" s="288">
        <v>0</v>
      </c>
      <c r="X52" s="288">
        <v>0</v>
      </c>
      <c r="Y52" s="290"/>
      <c r="Z52" s="291">
        <f>5500/1000</f>
        <v>5.5</v>
      </c>
      <c r="AA52" s="291">
        <f>5500/1000</f>
        <v>5.5</v>
      </c>
      <c r="AB52" s="292">
        <f>AA52/Z52</f>
        <v>1</v>
      </c>
    </row>
    <row r="53" spans="1:28" ht="31.5">
      <c r="A53" s="142" t="s">
        <v>584</v>
      </c>
      <c r="B53" s="49" t="s">
        <v>585</v>
      </c>
      <c r="C53" s="142"/>
      <c r="D53" s="142" t="s">
        <v>586</v>
      </c>
      <c r="E53" s="286">
        <v>0</v>
      </c>
      <c r="F53" s="286">
        <v>0</v>
      </c>
      <c r="G53" s="287"/>
      <c r="H53" s="286">
        <v>0</v>
      </c>
      <c r="I53" s="286">
        <v>0</v>
      </c>
      <c r="J53" s="287"/>
      <c r="K53" s="288">
        <v>0</v>
      </c>
      <c r="L53" s="288">
        <v>0</v>
      </c>
      <c r="M53" s="287"/>
      <c r="N53" s="288">
        <v>0</v>
      </c>
      <c r="O53" s="288">
        <v>0</v>
      </c>
      <c r="P53" s="287"/>
      <c r="Q53" s="288">
        <v>0</v>
      </c>
      <c r="R53" s="288">
        <v>0</v>
      </c>
      <c r="S53" s="287"/>
      <c r="T53" s="288">
        <v>0</v>
      </c>
      <c r="U53" s="288">
        <v>0</v>
      </c>
      <c r="V53" s="287"/>
      <c r="W53" s="288">
        <v>0</v>
      </c>
      <c r="X53" s="288">
        <v>0</v>
      </c>
      <c r="Y53" s="290"/>
      <c r="Z53" s="291"/>
      <c r="AA53" s="291"/>
      <c r="AB53" s="293"/>
    </row>
    <row r="54" spans="1:28" ht="15.75">
      <c r="A54" s="142" t="s">
        <v>587</v>
      </c>
      <c r="B54" s="49" t="s">
        <v>588</v>
      </c>
      <c r="C54" s="142"/>
      <c r="D54" s="142" t="s">
        <v>589</v>
      </c>
      <c r="E54" s="286">
        <v>50</v>
      </c>
      <c r="F54" s="286">
        <v>50</v>
      </c>
      <c r="G54" s="287">
        <f>+F54/E54</f>
        <v>1</v>
      </c>
      <c r="H54" s="286">
        <v>400</v>
      </c>
      <c r="I54" s="286">
        <v>370.42</v>
      </c>
      <c r="J54" s="287">
        <f>+I54/H54</f>
        <v>0.92605</v>
      </c>
      <c r="K54" s="288">
        <v>0</v>
      </c>
      <c r="L54" s="288">
        <v>0</v>
      </c>
      <c r="M54" s="287"/>
      <c r="N54" s="288">
        <v>0</v>
      </c>
      <c r="O54" s="288">
        <v>0</v>
      </c>
      <c r="P54" s="287"/>
      <c r="Q54" s="288">
        <v>111.82</v>
      </c>
      <c r="R54" s="288">
        <v>111.82</v>
      </c>
      <c r="S54" s="287">
        <f>+R54/Q54</f>
        <v>1</v>
      </c>
      <c r="T54" s="288">
        <f>230924/1000</f>
        <v>230.924</v>
      </c>
      <c r="U54" s="288">
        <f>230924/1000</f>
        <v>230.924</v>
      </c>
      <c r="V54" s="287">
        <f>+U54/T54</f>
        <v>1</v>
      </c>
      <c r="W54" s="288">
        <f>(442164.48+17500)/1000</f>
        <v>459.66447999999997</v>
      </c>
      <c r="X54" s="288">
        <f>(17500+442164.48)/1000</f>
        <v>459.66447999999997</v>
      </c>
      <c r="Y54" s="290">
        <f>+X54/W54</f>
        <v>1</v>
      </c>
      <c r="Z54" s="291">
        <f>(238709.9+320929.8)/1000</f>
        <v>559.6397</v>
      </c>
      <c r="AA54" s="291">
        <f>(238709.9+232945.26)/1000</f>
        <v>471.65516</v>
      </c>
      <c r="AB54" s="292">
        <f>AA54/Z54</f>
        <v>0.8427835980899855</v>
      </c>
    </row>
    <row r="55" spans="1:28" ht="15.75">
      <c r="A55" s="142" t="s">
        <v>590</v>
      </c>
      <c r="B55" s="49" t="s">
        <v>591</v>
      </c>
      <c r="C55" s="142"/>
      <c r="D55" s="142" t="s">
        <v>592</v>
      </c>
      <c r="E55" s="286">
        <v>0</v>
      </c>
      <c r="F55" s="286">
        <v>0</v>
      </c>
      <c r="G55" s="287"/>
      <c r="H55" s="286">
        <v>0</v>
      </c>
      <c r="I55" s="286">
        <v>0</v>
      </c>
      <c r="J55" s="287"/>
      <c r="K55" s="288">
        <v>95.1</v>
      </c>
      <c r="L55" s="288">
        <v>95.1</v>
      </c>
      <c r="M55" s="287">
        <f>+L55/K55</f>
        <v>1</v>
      </c>
      <c r="N55" s="288">
        <v>0</v>
      </c>
      <c r="O55" s="288">
        <v>0</v>
      </c>
      <c r="P55" s="287"/>
      <c r="Q55" s="288">
        <v>99</v>
      </c>
      <c r="R55" s="288">
        <v>98.8</v>
      </c>
      <c r="S55" s="287">
        <f>+R55/Q55</f>
        <v>0.997979797979798</v>
      </c>
      <c r="T55" s="288">
        <v>0</v>
      </c>
      <c r="U55" s="288">
        <v>0</v>
      </c>
      <c r="V55" s="287"/>
      <c r="W55" s="288">
        <f>(50000+17750)/1000</f>
        <v>67.75</v>
      </c>
      <c r="X55" s="288">
        <f>(49890+17750)/1000</f>
        <v>67.64</v>
      </c>
      <c r="Y55" s="290">
        <f>+X55/W55</f>
        <v>0.9983763837638376</v>
      </c>
      <c r="Z55" s="291">
        <v>0</v>
      </c>
      <c r="AA55" s="291">
        <v>0</v>
      </c>
      <c r="AB55" s="293"/>
    </row>
    <row r="56" spans="1:28" ht="31.5">
      <c r="A56" s="142" t="s">
        <v>593</v>
      </c>
      <c r="B56" s="49" t="s">
        <v>594</v>
      </c>
      <c r="C56" s="142"/>
      <c r="D56" s="142" t="s">
        <v>595</v>
      </c>
      <c r="E56" s="286">
        <v>0</v>
      </c>
      <c r="F56" s="286">
        <v>0</v>
      </c>
      <c r="G56" s="287"/>
      <c r="H56" s="286">
        <v>0</v>
      </c>
      <c r="I56" s="286">
        <v>0</v>
      </c>
      <c r="J56" s="287"/>
      <c r="K56" s="288">
        <v>0</v>
      </c>
      <c r="L56" s="288">
        <v>0</v>
      </c>
      <c r="M56" s="287"/>
      <c r="N56" s="288">
        <v>0</v>
      </c>
      <c r="O56" s="288">
        <v>0</v>
      </c>
      <c r="P56" s="287"/>
      <c r="Q56" s="288">
        <v>0</v>
      </c>
      <c r="R56" s="288">
        <v>0</v>
      </c>
      <c r="S56" s="287"/>
      <c r="T56" s="288">
        <v>1.8</v>
      </c>
      <c r="U56" s="288">
        <v>1.8</v>
      </c>
      <c r="V56" s="287">
        <f>+U56/T56</f>
        <v>1</v>
      </c>
      <c r="W56" s="288">
        <f>(5000+750)/1000</f>
        <v>5.75</v>
      </c>
      <c r="X56" s="288">
        <f>(5000+750)/1000</f>
        <v>5.75</v>
      </c>
      <c r="Y56" s="290">
        <f>+X56/W56</f>
        <v>1</v>
      </c>
      <c r="Z56" s="291">
        <f>210000/1000</f>
        <v>210</v>
      </c>
      <c r="AA56" s="291">
        <f>175508/1000</f>
        <v>175.508</v>
      </c>
      <c r="AB56" s="292">
        <f>AA56/Z56</f>
        <v>0.835752380952381</v>
      </c>
    </row>
    <row r="57" spans="1:28" ht="31.5">
      <c r="A57" s="212" t="s">
        <v>596</v>
      </c>
      <c r="B57" s="279" t="s">
        <v>597</v>
      </c>
      <c r="C57" s="212">
        <v>320</v>
      </c>
      <c r="D57" s="212" t="s">
        <v>598</v>
      </c>
      <c r="E57" s="297">
        <v>0</v>
      </c>
      <c r="F57" s="297">
        <v>0</v>
      </c>
      <c r="G57" s="281"/>
      <c r="H57" s="297">
        <v>0</v>
      </c>
      <c r="I57" s="297">
        <v>0</v>
      </c>
      <c r="J57" s="281"/>
      <c r="K57" s="280">
        <v>0</v>
      </c>
      <c r="L57" s="280">
        <v>0</v>
      </c>
      <c r="M57" s="281"/>
      <c r="N57" s="280">
        <v>0.8</v>
      </c>
      <c r="O57" s="280">
        <v>0.8</v>
      </c>
      <c r="P57" s="281">
        <f>+O57/N57</f>
        <v>1</v>
      </c>
      <c r="Q57" s="280"/>
      <c r="R57" s="280"/>
      <c r="S57" s="281"/>
      <c r="T57" s="280"/>
      <c r="U57" s="280"/>
      <c r="V57" s="281"/>
      <c r="W57" s="280"/>
      <c r="X57" s="280"/>
      <c r="Y57" s="282"/>
      <c r="Z57" s="232"/>
      <c r="AA57" s="232"/>
      <c r="AB57" s="230"/>
    </row>
    <row r="58" spans="1:28" ht="31.5">
      <c r="A58" s="212" t="s">
        <v>599</v>
      </c>
      <c r="B58" s="279" t="s">
        <v>600</v>
      </c>
      <c r="C58" s="212">
        <v>340</v>
      </c>
      <c r="D58" s="212">
        <v>34000</v>
      </c>
      <c r="E58" s="297">
        <f>SUM(E59:E63)</f>
        <v>252.59000000000003</v>
      </c>
      <c r="F58" s="297">
        <f>SUM(F59:F63)</f>
        <v>239.4</v>
      </c>
      <c r="G58" s="281">
        <f>+F58/E58</f>
        <v>0.947780988954432</v>
      </c>
      <c r="H58" s="297">
        <f>SUM(H59:H63)</f>
        <v>339</v>
      </c>
      <c r="I58" s="297">
        <f>SUM(I59:I63)</f>
        <v>339</v>
      </c>
      <c r="J58" s="281">
        <f>+I58/H58</f>
        <v>1</v>
      </c>
      <c r="K58" s="297">
        <f>SUM(K59:K63)</f>
        <v>490.94</v>
      </c>
      <c r="L58" s="297">
        <f>SUM(L59:L63)</f>
        <v>482.91999999999996</v>
      </c>
      <c r="M58" s="281">
        <f>+L58/K58</f>
        <v>0.9836639915264593</v>
      </c>
      <c r="N58" s="297">
        <f>SUM(N59:N63)</f>
        <v>493</v>
      </c>
      <c r="O58" s="297">
        <f>SUM(O59:O63)</f>
        <v>493</v>
      </c>
      <c r="P58" s="281">
        <f>+O58/N58</f>
        <v>1</v>
      </c>
      <c r="Q58" s="297">
        <f>SUM(Q59:Q63)</f>
        <v>514.53</v>
      </c>
      <c r="R58" s="297">
        <f>SUM(R59:R63)</f>
        <v>510.42</v>
      </c>
      <c r="S58" s="281">
        <f>+R58/Q58</f>
        <v>0.9920121275727364</v>
      </c>
      <c r="T58" s="297">
        <f>SUM(T59:T63)</f>
        <v>559.6406099999999</v>
      </c>
      <c r="U58" s="297">
        <f>SUM(U59:U63)</f>
        <v>559.6406099999999</v>
      </c>
      <c r="V58" s="281">
        <f>+U58/T58</f>
        <v>1</v>
      </c>
      <c r="W58" s="297">
        <f>SUM(W59:W63)</f>
        <v>483.08763</v>
      </c>
      <c r="X58" s="297">
        <f>SUM(X59:X63)</f>
        <v>483.06472</v>
      </c>
      <c r="Y58" s="282">
        <f>+X58/W58</f>
        <v>0.9999525758918729</v>
      </c>
      <c r="Z58" s="280">
        <f>Z61+Z63</f>
        <v>516.1096699999999</v>
      </c>
      <c r="AA58" s="280">
        <f>AA61+AA63</f>
        <v>516.1096699999999</v>
      </c>
      <c r="AB58" s="281">
        <f>AA58/Z58</f>
        <v>1</v>
      </c>
    </row>
    <row r="59" spans="1:28" ht="15.75">
      <c r="A59" s="142" t="s">
        <v>601</v>
      </c>
      <c r="B59" s="49" t="s">
        <v>602</v>
      </c>
      <c r="C59" s="142"/>
      <c r="D59" s="142" t="s">
        <v>603</v>
      </c>
      <c r="E59" s="286">
        <v>0</v>
      </c>
      <c r="F59" s="286">
        <v>0</v>
      </c>
      <c r="G59" s="287"/>
      <c r="H59" s="286">
        <v>0</v>
      </c>
      <c r="I59" s="286"/>
      <c r="J59" s="287"/>
      <c r="K59" s="288">
        <v>0</v>
      </c>
      <c r="L59" s="288">
        <v>0</v>
      </c>
      <c r="M59" s="287"/>
      <c r="N59" s="288">
        <v>0</v>
      </c>
      <c r="O59" s="288">
        <v>0</v>
      </c>
      <c r="P59" s="287"/>
      <c r="Q59" s="288"/>
      <c r="R59" s="288"/>
      <c r="S59" s="287"/>
      <c r="T59" s="288"/>
      <c r="U59" s="288"/>
      <c r="V59" s="287"/>
      <c r="W59" s="288"/>
      <c r="X59" s="288"/>
      <c r="Y59" s="290"/>
      <c r="Z59" s="291"/>
      <c r="AA59" s="291"/>
      <c r="AB59" s="293"/>
    </row>
    <row r="60" spans="1:28" ht="15.75">
      <c r="A60" s="142" t="s">
        <v>604</v>
      </c>
      <c r="B60" s="49" t="s">
        <v>605</v>
      </c>
      <c r="C60" s="142"/>
      <c r="D60" s="142" t="s">
        <v>606</v>
      </c>
      <c r="E60" s="286">
        <v>0</v>
      </c>
      <c r="F60" s="286">
        <v>0</v>
      </c>
      <c r="G60" s="287"/>
      <c r="H60" s="286">
        <v>0</v>
      </c>
      <c r="I60" s="286"/>
      <c r="J60" s="287"/>
      <c r="K60" s="288">
        <v>0</v>
      </c>
      <c r="L60" s="288">
        <v>0</v>
      </c>
      <c r="M60" s="287"/>
      <c r="N60" s="288">
        <v>0</v>
      </c>
      <c r="O60" s="288">
        <v>0</v>
      </c>
      <c r="P60" s="287"/>
      <c r="Q60" s="288"/>
      <c r="R60" s="288"/>
      <c r="S60" s="287"/>
      <c r="T60" s="288"/>
      <c r="U60" s="288"/>
      <c r="V60" s="287"/>
      <c r="W60" s="288"/>
      <c r="X60" s="288"/>
      <c r="Y60" s="290"/>
      <c r="Z60" s="291"/>
      <c r="AA60" s="291"/>
      <c r="AB60" s="293"/>
    </row>
    <row r="61" spans="1:28" ht="15.75">
      <c r="A61" s="142" t="s">
        <v>607</v>
      </c>
      <c r="B61" s="49" t="s">
        <v>608</v>
      </c>
      <c r="C61" s="142"/>
      <c r="D61" s="142" t="s">
        <v>609</v>
      </c>
      <c r="E61" s="286">
        <v>124.01</v>
      </c>
      <c r="F61" s="286">
        <v>124.01</v>
      </c>
      <c r="G61" s="287">
        <f>+F61/E61</f>
        <v>1</v>
      </c>
      <c r="H61" s="286">
        <v>144</v>
      </c>
      <c r="I61" s="286">
        <v>144</v>
      </c>
      <c r="J61" s="287">
        <f>+I61/H61</f>
        <v>1</v>
      </c>
      <c r="K61" s="288">
        <v>163</v>
      </c>
      <c r="L61" s="288">
        <v>154.98</v>
      </c>
      <c r="M61" s="287">
        <f>+L61/K61</f>
        <v>0.9507975460122698</v>
      </c>
      <c r="N61" s="288">
        <v>143</v>
      </c>
      <c r="O61" s="288">
        <v>143</v>
      </c>
      <c r="P61" s="287">
        <f>+O61/N61</f>
        <v>1</v>
      </c>
      <c r="Q61" s="288">
        <v>153.05</v>
      </c>
      <c r="R61" s="288">
        <v>149.43</v>
      </c>
      <c r="S61" s="287">
        <f>+R61/Q61</f>
        <v>0.9763475988239138</v>
      </c>
      <c r="T61" s="288">
        <f>(67184.25+87932.8+5900)/1000</f>
        <v>161.01704999999998</v>
      </c>
      <c r="U61" s="288">
        <f>(67184.25+87932.8+5900)/1000</f>
        <v>161.01704999999998</v>
      </c>
      <c r="V61" s="287">
        <f>+U61/T61</f>
        <v>1</v>
      </c>
      <c r="W61" s="288">
        <f>(89970.9+44999.96+8211)/1000</f>
        <v>143.18185999999997</v>
      </c>
      <c r="X61" s="288">
        <f>(89970.9+44977.05+8211)/1000</f>
        <v>143.15895</v>
      </c>
      <c r="Y61" s="290">
        <f>+X61/W61</f>
        <v>0.9998399936975259</v>
      </c>
      <c r="Z61" s="291">
        <f>(97821.4+40056.15+21400+10000)/1000</f>
        <v>169.27755</v>
      </c>
      <c r="AA61" s="291">
        <f>(97821.4+40056.15+21400+10000)/1000</f>
        <v>169.27755</v>
      </c>
      <c r="AB61" s="292">
        <f>AA61/Z61</f>
        <v>1</v>
      </c>
    </row>
    <row r="62" spans="1:28" ht="15.75">
      <c r="A62" s="142" t="s">
        <v>610</v>
      </c>
      <c r="B62" s="49" t="s">
        <v>611</v>
      </c>
      <c r="C62" s="142"/>
      <c r="D62" s="142" t="s">
        <v>612</v>
      </c>
      <c r="E62" s="286">
        <v>0</v>
      </c>
      <c r="F62" s="286">
        <v>0</v>
      </c>
      <c r="G62" s="287"/>
      <c r="H62" s="286">
        <v>0</v>
      </c>
      <c r="I62" s="286">
        <v>0</v>
      </c>
      <c r="J62" s="287"/>
      <c r="K62" s="288">
        <v>0</v>
      </c>
      <c r="L62" s="288">
        <v>0</v>
      </c>
      <c r="M62" s="287"/>
      <c r="N62" s="288">
        <v>0</v>
      </c>
      <c r="O62" s="288">
        <v>0</v>
      </c>
      <c r="P62" s="287"/>
      <c r="Q62" s="288"/>
      <c r="R62" s="288"/>
      <c r="S62" s="287"/>
      <c r="T62" s="288"/>
      <c r="U62" s="288"/>
      <c r="V62" s="287"/>
      <c r="W62" s="288"/>
      <c r="X62" s="288"/>
      <c r="Y62" s="290"/>
      <c r="Z62" s="291"/>
      <c r="AA62" s="291"/>
      <c r="AB62" s="293"/>
    </row>
    <row r="63" spans="1:28" ht="31.5">
      <c r="A63" s="142" t="s">
        <v>613</v>
      </c>
      <c r="B63" s="49" t="s">
        <v>614</v>
      </c>
      <c r="C63" s="142"/>
      <c r="D63" s="142" t="s">
        <v>615</v>
      </c>
      <c r="E63" s="286">
        <v>128.58</v>
      </c>
      <c r="F63" s="286">
        <v>115.39</v>
      </c>
      <c r="G63" s="287">
        <f>+F63/E63</f>
        <v>0.8974179499144501</v>
      </c>
      <c r="H63" s="286">
        <v>195</v>
      </c>
      <c r="I63" s="286">
        <v>195</v>
      </c>
      <c r="J63" s="287">
        <f>+I63/H63</f>
        <v>1</v>
      </c>
      <c r="K63" s="288">
        <v>327.94</v>
      </c>
      <c r="L63" s="288">
        <v>327.94</v>
      </c>
      <c r="M63" s="287">
        <f>+L63/K63</f>
        <v>1</v>
      </c>
      <c r="N63" s="288">
        <v>350</v>
      </c>
      <c r="O63" s="288">
        <v>350</v>
      </c>
      <c r="P63" s="287">
        <f>+O63/N63</f>
        <v>1</v>
      </c>
      <c r="Q63" s="288">
        <v>361.48</v>
      </c>
      <c r="R63" s="288">
        <v>360.99</v>
      </c>
      <c r="S63" s="287">
        <f>+R63/Q63</f>
        <v>0.9986444616576298</v>
      </c>
      <c r="T63" s="288">
        <f>(22500+376123.56)/1000</f>
        <v>398.62356</v>
      </c>
      <c r="U63" s="288">
        <f>(22500+376123.56)/1000</f>
        <v>398.62356</v>
      </c>
      <c r="V63" s="287">
        <f>+U63/T63</f>
        <v>1</v>
      </c>
      <c r="W63" s="288">
        <f>(266454.4+4190+67073.34+2188.03)/1000</f>
        <v>339.90577</v>
      </c>
      <c r="X63" s="288">
        <f>(2188.03+67073.34+4190+266454.4)/1000</f>
        <v>339.90577</v>
      </c>
      <c r="Y63" s="290">
        <f>+X63/W63</f>
        <v>1</v>
      </c>
      <c r="Z63" s="291">
        <f>(3907+22314+23986.4+17276+3110+33038+121457.54+72641.18+49102)/1000</f>
        <v>346.83212</v>
      </c>
      <c r="AA63" s="291">
        <f>(3907+22314+23986.4+17276+3110+33038+121457.54+72641.18+49102)/1000</f>
        <v>346.83212</v>
      </c>
      <c r="AB63" s="292">
        <f>AA63/Z63</f>
        <v>1</v>
      </c>
    </row>
    <row r="64" spans="1:28" ht="15.75">
      <c r="A64" s="169"/>
      <c r="B64" s="69" t="s">
        <v>616</v>
      </c>
      <c r="C64" s="169"/>
      <c r="D64" s="169"/>
      <c r="E64" s="298">
        <f>E8+E49</f>
        <v>308555.22000000003</v>
      </c>
      <c r="F64" s="298">
        <f aca="true" t="shared" si="13" ref="F64:O64">F8+F49</f>
        <v>294151.33</v>
      </c>
      <c r="G64" s="284">
        <f>+F64/E64</f>
        <v>0.9533182747645623</v>
      </c>
      <c r="H64" s="298">
        <f t="shared" si="13"/>
        <v>322315.07999999996</v>
      </c>
      <c r="I64" s="298">
        <f t="shared" si="13"/>
        <v>307916.45999999996</v>
      </c>
      <c r="J64" s="284">
        <f>+I64/H64</f>
        <v>0.9553275012760806</v>
      </c>
      <c r="K64" s="298">
        <f t="shared" si="13"/>
        <v>349499.0899999999</v>
      </c>
      <c r="L64" s="298">
        <f t="shared" si="13"/>
        <v>314138.84</v>
      </c>
      <c r="M64" s="284">
        <f>+L64/K64</f>
        <v>0.8988259168285677</v>
      </c>
      <c r="N64" s="298">
        <f t="shared" si="13"/>
        <v>340292.95999999996</v>
      </c>
      <c r="O64" s="298">
        <f t="shared" si="13"/>
        <v>306666.6399999999</v>
      </c>
      <c r="P64" s="284">
        <f>+O64/N64</f>
        <v>0.9011842031642381</v>
      </c>
      <c r="Q64" s="298">
        <f>Q8+Q49</f>
        <v>345604.35000000003</v>
      </c>
      <c r="R64" s="298">
        <f>R8+R49</f>
        <v>339121.18738</v>
      </c>
      <c r="S64" s="284">
        <f>+R64/Q64</f>
        <v>0.9812410850152783</v>
      </c>
      <c r="T64" s="298">
        <f>T8+T49</f>
        <v>390493.00568</v>
      </c>
      <c r="U64" s="298">
        <f>U8+U49</f>
        <v>381744.44174</v>
      </c>
      <c r="V64" s="284">
        <f>+U64/T64</f>
        <v>0.9775961059154814</v>
      </c>
      <c r="W64" s="298">
        <f>W8+W49</f>
        <v>466096.77287000004</v>
      </c>
      <c r="X64" s="298">
        <f>X8+X49</f>
        <v>456907.76352000004</v>
      </c>
      <c r="Y64" s="285">
        <f>+X64/W64</f>
        <v>0.9802851899329436</v>
      </c>
      <c r="Z64" s="298">
        <f>Z8+Z49</f>
        <v>482228.57016</v>
      </c>
      <c r="AA64" s="298">
        <f>AA8+AA49</f>
        <v>472631.0124999999</v>
      </c>
      <c r="AB64" s="284">
        <f>AA64/Z64</f>
        <v>0.9800974926541252</v>
      </c>
    </row>
    <row r="65" ht="15.75"/>
    <row r="66" spans="17:27" ht="15.75">
      <c r="Q66" s="302"/>
      <c r="R66" s="302"/>
      <c r="T66" s="302"/>
      <c r="U66" s="302"/>
      <c r="W66" s="302"/>
      <c r="X66" s="302"/>
      <c r="Z66" s="303"/>
      <c r="AA66" s="303"/>
    </row>
    <row r="67" spans="26:27" ht="15.75">
      <c r="Z67" s="302"/>
      <c r="AA67" s="303"/>
    </row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6" ht="15.75"/>
    <row r="367" ht="15.75"/>
    <row r="368" ht="15.75"/>
  </sheetData>
  <sheetProtection selectLockedCells="1" selectUnlockedCells="1"/>
  <mergeCells count="4">
    <mergeCell ref="A1:D1"/>
    <mergeCell ref="A2:D2"/>
    <mergeCell ref="A3:F3"/>
    <mergeCell ref="A4:D4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01"/>
  <sheetViews>
    <sheetView workbookViewId="0" topLeftCell="D4">
      <selection activeCell="G17" activeCellId="1" sqref="A74:J74 G17"/>
    </sheetView>
  </sheetViews>
  <sheetFormatPr defaultColWidth="9.00390625" defaultRowHeight="12.75"/>
  <cols>
    <col min="1" max="1" width="6.50390625" style="0" customWidth="1"/>
    <col min="2" max="2" width="17.375" style="0" customWidth="1"/>
    <col min="3" max="3" width="14.375" style="0" customWidth="1"/>
    <col min="4" max="4" width="36.50390625" style="0" customWidth="1"/>
    <col min="5" max="5" width="16.50390625" style="0" customWidth="1"/>
    <col min="6" max="6" width="11.50390625" style="0" customWidth="1"/>
    <col min="7" max="7" width="11.625" style="0" customWidth="1"/>
    <col min="8" max="8" width="12.375" style="0" customWidth="1"/>
    <col min="9" max="9" width="11.50390625" style="0" customWidth="1"/>
    <col min="10" max="10" width="10.50390625" style="0" customWidth="1"/>
    <col min="11" max="11" width="15.50390625" style="0" customWidth="1"/>
  </cols>
  <sheetData>
    <row r="1" spans="1:22" ht="12.75">
      <c r="A1" s="21"/>
      <c r="B1" s="21"/>
      <c r="C1" s="21"/>
      <c r="D1" s="21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</row>
    <row r="2" spans="1:22" ht="12.75">
      <c r="A2" s="305"/>
      <c r="B2" s="87" t="s">
        <v>24</v>
      </c>
      <c r="C2" s="87"/>
      <c r="D2" s="87"/>
      <c r="E2" s="87"/>
      <c r="F2" s="87"/>
      <c r="G2" s="17"/>
      <c r="H2" s="17"/>
      <c r="I2" s="17"/>
      <c r="J2" s="17"/>
      <c r="K2" s="17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</row>
    <row r="3" spans="1:22" ht="12.75">
      <c r="A3" s="23"/>
      <c r="B3" s="306" t="s">
        <v>25</v>
      </c>
      <c r="C3" s="306"/>
      <c r="D3" s="306"/>
      <c r="E3" s="306"/>
      <c r="F3" s="306"/>
      <c r="G3" s="17"/>
      <c r="H3" s="17"/>
      <c r="I3" s="17"/>
      <c r="J3" s="17"/>
      <c r="K3" s="17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</row>
    <row r="4" spans="1:22" ht="12.75">
      <c r="A4" s="25"/>
      <c r="B4" s="25"/>
      <c r="C4" s="25"/>
      <c r="D4" s="25"/>
      <c r="E4" s="90"/>
      <c r="F4" s="7"/>
      <c r="G4" s="7"/>
      <c r="H4" s="7"/>
      <c r="I4" s="7"/>
      <c r="J4" s="7"/>
      <c r="K4" s="7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</row>
    <row r="5" spans="1:22" ht="12.75">
      <c r="A5" s="26"/>
      <c r="B5" s="17"/>
      <c r="C5" s="17"/>
      <c r="D5" s="17"/>
      <c r="E5" s="17"/>
      <c r="F5" s="17"/>
      <c r="G5" s="17"/>
      <c r="H5" s="17"/>
      <c r="I5" s="17"/>
      <c r="J5" s="17"/>
      <c r="K5" s="17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</row>
    <row r="6" spans="1:22" ht="12.75" customHeight="1">
      <c r="A6" s="307" t="s">
        <v>617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</row>
    <row r="7" spans="1:22" ht="12.75">
      <c r="A7" s="308"/>
      <c r="B7" s="308"/>
      <c r="C7" s="309"/>
      <c r="D7" s="309"/>
      <c r="E7" s="309"/>
      <c r="F7" s="310"/>
      <c r="G7" s="198"/>
      <c r="H7" s="198"/>
      <c r="I7" s="198"/>
      <c r="J7" s="198"/>
      <c r="K7" s="198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</row>
    <row r="8" spans="1:22" ht="12.7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</row>
    <row r="9" spans="1:22" ht="12.75" customHeight="1">
      <c r="A9" s="312" t="s">
        <v>200</v>
      </c>
      <c r="B9" s="312" t="s">
        <v>618</v>
      </c>
      <c r="C9" s="312" t="s">
        <v>619</v>
      </c>
      <c r="D9" s="312" t="s">
        <v>620</v>
      </c>
      <c r="E9" s="312" t="s">
        <v>621</v>
      </c>
      <c r="F9" s="313" t="s">
        <v>622</v>
      </c>
      <c r="G9" s="313"/>
      <c r="H9" s="313"/>
      <c r="I9" s="313"/>
      <c r="J9" s="313"/>
      <c r="K9" s="312" t="s">
        <v>623</v>
      </c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</row>
    <row r="10" spans="1:22" ht="30" customHeight="1">
      <c r="A10" s="312"/>
      <c r="B10" s="312"/>
      <c r="C10" s="312"/>
      <c r="D10" s="312"/>
      <c r="E10" s="312"/>
      <c r="F10" s="314" t="s">
        <v>624</v>
      </c>
      <c r="G10" s="312" t="s">
        <v>625</v>
      </c>
      <c r="H10" s="312" t="s">
        <v>626</v>
      </c>
      <c r="I10" s="312" t="s">
        <v>627</v>
      </c>
      <c r="J10" s="312" t="s">
        <v>628</v>
      </c>
      <c r="K10" s="312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</row>
    <row r="11" spans="1:22" s="317" customFormat="1" ht="10.5" customHeight="1">
      <c r="A11" s="315">
        <v>1</v>
      </c>
      <c r="B11" s="316">
        <v>2</v>
      </c>
      <c r="C11" s="316">
        <v>3</v>
      </c>
      <c r="D11" s="315">
        <v>4</v>
      </c>
      <c r="E11" s="316">
        <v>5</v>
      </c>
      <c r="F11" s="316">
        <v>6</v>
      </c>
      <c r="G11" s="315">
        <v>7</v>
      </c>
      <c r="H11" s="316">
        <v>8</v>
      </c>
      <c r="I11" s="316">
        <v>9</v>
      </c>
      <c r="J11" s="315">
        <v>10</v>
      </c>
      <c r="K11" s="316">
        <v>11</v>
      </c>
      <c r="M11" s="318"/>
      <c r="N11" s="318"/>
      <c r="O11" s="318"/>
      <c r="P11" s="318"/>
      <c r="Q11" s="318"/>
      <c r="R11" s="318"/>
      <c r="S11" s="318"/>
      <c r="T11" s="318"/>
      <c r="U11" s="318"/>
      <c r="V11" s="318"/>
    </row>
    <row r="12" spans="1:22" s="198" customFormat="1" ht="38.25" customHeight="1">
      <c r="A12" s="319">
        <v>1</v>
      </c>
      <c r="B12" s="320" t="s">
        <v>629</v>
      </c>
      <c r="C12" s="320" t="s">
        <v>630</v>
      </c>
      <c r="D12" s="321" t="s">
        <v>631</v>
      </c>
      <c r="E12" s="322" t="s">
        <v>632</v>
      </c>
      <c r="F12" s="323">
        <v>24.99</v>
      </c>
      <c r="G12" s="324">
        <v>6222800</v>
      </c>
      <c r="H12" s="324" t="s">
        <v>633</v>
      </c>
      <c r="I12" s="324" t="s">
        <v>634</v>
      </c>
      <c r="J12" s="325">
        <v>22505</v>
      </c>
      <c r="K12" s="326" t="s">
        <v>635</v>
      </c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</row>
    <row r="13" spans="1:22" s="331" customFormat="1" ht="38.25" customHeight="1">
      <c r="A13" s="319"/>
      <c r="B13" s="320"/>
      <c r="C13" s="320"/>
      <c r="D13" s="321" t="s">
        <v>636</v>
      </c>
      <c r="E13" s="322" t="s">
        <v>632</v>
      </c>
      <c r="F13" s="328">
        <v>195</v>
      </c>
      <c r="G13" s="329" t="s">
        <v>637</v>
      </c>
      <c r="H13" s="329" t="s">
        <v>638</v>
      </c>
      <c r="I13" s="329" t="s">
        <v>639</v>
      </c>
      <c r="J13" s="330">
        <v>22606</v>
      </c>
      <c r="K13" s="326" t="s">
        <v>635</v>
      </c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</row>
    <row r="14" spans="1:22" ht="12.75">
      <c r="A14" s="194"/>
      <c r="B14" s="81"/>
      <c r="C14" s="194"/>
      <c r="D14" s="194"/>
      <c r="E14" s="332"/>
      <c r="F14" s="332"/>
      <c r="G14" s="333"/>
      <c r="H14" s="332"/>
      <c r="I14" s="332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</row>
    <row r="15" spans="1:22" ht="12.75">
      <c r="A15" s="21"/>
      <c r="B15" s="334"/>
      <c r="C15" s="21"/>
      <c r="D15" s="21"/>
      <c r="E15" s="332"/>
      <c r="F15" s="332"/>
      <c r="G15" s="333"/>
      <c r="H15" s="332"/>
      <c r="I15" s="332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</row>
    <row r="16" spans="1:22" ht="12.75">
      <c r="A16" s="194"/>
      <c r="B16" s="81"/>
      <c r="C16" s="194"/>
      <c r="D16" s="194"/>
      <c r="E16" s="332"/>
      <c r="F16" s="332"/>
      <c r="G16" s="332"/>
      <c r="H16" s="332"/>
      <c r="I16" s="332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</row>
    <row r="17" spans="1:22" ht="12.75">
      <c r="A17" s="194"/>
      <c r="B17" s="81"/>
      <c r="C17" s="194"/>
      <c r="D17" s="194"/>
      <c r="E17" s="332"/>
      <c r="F17" s="332"/>
      <c r="G17" s="333"/>
      <c r="H17" s="332"/>
      <c r="I17" s="332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</row>
    <row r="18" spans="1:22" ht="12.75" customHeight="1">
      <c r="A18" s="307" t="s">
        <v>640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</row>
    <row r="19" spans="1:22" ht="12.75">
      <c r="A19" s="308"/>
      <c r="B19" s="308"/>
      <c r="C19" s="309"/>
      <c r="D19" s="309"/>
      <c r="E19" s="309"/>
      <c r="F19" s="310"/>
      <c r="G19" s="198"/>
      <c r="H19" s="198"/>
      <c r="I19" s="198"/>
      <c r="J19" s="198"/>
      <c r="K19" s="198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</row>
    <row r="20" spans="1:22" ht="12.75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</row>
    <row r="21" spans="1:22" ht="12.75" customHeight="1">
      <c r="A21" s="312" t="s">
        <v>200</v>
      </c>
      <c r="B21" s="312" t="s">
        <v>618</v>
      </c>
      <c r="C21" s="312" t="s">
        <v>619</v>
      </c>
      <c r="D21" s="312" t="s">
        <v>620</v>
      </c>
      <c r="E21" s="312" t="s">
        <v>621</v>
      </c>
      <c r="F21" s="313" t="s">
        <v>622</v>
      </c>
      <c r="G21" s="313"/>
      <c r="H21" s="313"/>
      <c r="I21" s="313"/>
      <c r="J21" s="313"/>
      <c r="K21" s="312" t="s">
        <v>623</v>
      </c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</row>
    <row r="22" spans="1:22" ht="12.75">
      <c r="A22" s="312"/>
      <c r="B22" s="312"/>
      <c r="C22" s="312"/>
      <c r="D22" s="312"/>
      <c r="E22" s="312"/>
      <c r="F22" s="314" t="s">
        <v>624</v>
      </c>
      <c r="G22" s="312" t="s">
        <v>625</v>
      </c>
      <c r="H22" s="312" t="s">
        <v>626</v>
      </c>
      <c r="I22" s="312" t="s">
        <v>627</v>
      </c>
      <c r="J22" s="312" t="s">
        <v>628</v>
      </c>
      <c r="K22" s="312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</row>
    <row r="23" spans="1:22" ht="12.75">
      <c r="A23" s="315">
        <v>1</v>
      </c>
      <c r="B23" s="316">
        <v>2</v>
      </c>
      <c r="C23" s="316">
        <v>3</v>
      </c>
      <c r="D23" s="315">
        <v>4</v>
      </c>
      <c r="E23" s="316">
        <v>5</v>
      </c>
      <c r="F23" s="316">
        <v>6</v>
      </c>
      <c r="G23" s="315">
        <v>7</v>
      </c>
      <c r="H23" s="316">
        <v>8</v>
      </c>
      <c r="I23" s="316">
        <v>9</v>
      </c>
      <c r="J23" s="315">
        <v>10</v>
      </c>
      <c r="K23" s="316">
        <v>11</v>
      </c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</row>
    <row r="24" spans="1:22" ht="12.75">
      <c r="A24" s="319"/>
      <c r="B24" s="320"/>
      <c r="C24" s="320"/>
      <c r="D24" s="321"/>
      <c r="E24" s="322"/>
      <c r="F24" s="323"/>
      <c r="G24" s="324"/>
      <c r="H24" s="324"/>
      <c r="I24" s="324"/>
      <c r="J24" s="325"/>
      <c r="K24" s="326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</row>
    <row r="25" spans="1:22" ht="12.75">
      <c r="A25" s="319"/>
      <c r="B25" s="320"/>
      <c r="C25" s="320"/>
      <c r="D25" s="321"/>
      <c r="E25" s="322"/>
      <c r="F25" s="328"/>
      <c r="G25" s="329"/>
      <c r="H25" s="329"/>
      <c r="I25" s="329"/>
      <c r="J25" s="330"/>
      <c r="K25" s="326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</row>
    <row r="26" spans="1:22" ht="12.75">
      <c r="A26" s="194"/>
      <c r="B26" s="81"/>
      <c r="C26" s="194"/>
      <c r="D26" s="194"/>
      <c r="E26" s="332"/>
      <c r="F26" s="332"/>
      <c r="G26" s="333"/>
      <c r="H26" s="332"/>
      <c r="I26" s="332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</row>
    <row r="27" spans="1:22" ht="12.75">
      <c r="A27" s="21"/>
      <c r="B27" s="334"/>
      <c r="C27" s="21"/>
      <c r="D27" s="21"/>
      <c r="E27" s="335"/>
      <c r="F27" s="335"/>
      <c r="G27" s="335"/>
      <c r="H27" s="335"/>
      <c r="I27" s="335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</row>
    <row r="28" spans="1:22" ht="12.75">
      <c r="A28" s="194"/>
      <c r="B28" s="81"/>
      <c r="C28" s="194"/>
      <c r="D28" s="194"/>
      <c r="E28" s="332"/>
      <c r="F28" s="332"/>
      <c r="G28" s="332"/>
      <c r="H28" s="332"/>
      <c r="I28" s="332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</row>
    <row r="29" spans="1:22" ht="12.75">
      <c r="A29" s="194"/>
      <c r="B29" s="81"/>
      <c r="C29" s="194"/>
      <c r="D29" s="194"/>
      <c r="E29" s="332"/>
      <c r="F29" s="332"/>
      <c r="G29" s="332"/>
      <c r="H29" s="332"/>
      <c r="I29" s="332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</row>
    <row r="30" spans="1:22" ht="12.75">
      <c r="A30" s="194"/>
      <c r="B30" s="81"/>
      <c r="C30" s="194"/>
      <c r="D30" s="194"/>
      <c r="E30" s="332"/>
      <c r="F30" s="332"/>
      <c r="G30" s="332"/>
      <c r="H30" s="332"/>
      <c r="I30" s="332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</row>
    <row r="31" spans="1:22" ht="12.75">
      <c r="A31" s="194"/>
      <c r="B31" s="81"/>
      <c r="C31" s="194"/>
      <c r="D31" s="194"/>
      <c r="E31" s="332"/>
      <c r="F31" s="332"/>
      <c r="G31" s="332"/>
      <c r="H31" s="332"/>
      <c r="I31" s="332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</row>
    <row r="32" spans="1:22" ht="12.75">
      <c r="A32" s="21"/>
      <c r="B32" s="334"/>
      <c r="C32" s="21"/>
      <c r="D32" s="21"/>
      <c r="E32" s="335"/>
      <c r="F32" s="335"/>
      <c r="G32" s="335"/>
      <c r="H32" s="335"/>
      <c r="I32" s="335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</row>
    <row r="33" spans="1:22" ht="12.75">
      <c r="A33" s="194"/>
      <c r="B33" s="81"/>
      <c r="C33" s="194"/>
      <c r="D33" s="194"/>
      <c r="E33" s="332"/>
      <c r="F33" s="332"/>
      <c r="G33" s="333"/>
      <c r="H33" s="332"/>
      <c r="I33" s="332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</row>
    <row r="34" spans="1:22" ht="12.75">
      <c r="A34" s="194"/>
      <c r="B34" s="81"/>
      <c r="C34" s="194"/>
      <c r="D34" s="194"/>
      <c r="E34" s="332"/>
      <c r="F34" s="332"/>
      <c r="G34" s="333"/>
      <c r="H34" s="332"/>
      <c r="I34" s="332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</row>
    <row r="35" spans="1:22" ht="12.75">
      <c r="A35" s="194"/>
      <c r="B35" s="81"/>
      <c r="C35" s="194"/>
      <c r="D35" s="194"/>
      <c r="E35" s="332"/>
      <c r="F35" s="332"/>
      <c r="G35" s="333"/>
      <c r="H35" s="332"/>
      <c r="I35" s="332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</row>
    <row r="36" spans="1:22" ht="12.75">
      <c r="A36" s="194"/>
      <c r="B36" s="81"/>
      <c r="C36" s="194"/>
      <c r="D36" s="194"/>
      <c r="E36" s="332"/>
      <c r="F36" s="332"/>
      <c r="G36" s="333"/>
      <c r="H36" s="332"/>
      <c r="I36" s="332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</row>
    <row r="37" spans="1:22" ht="12.75">
      <c r="A37" s="194"/>
      <c r="B37" s="81"/>
      <c r="C37" s="194"/>
      <c r="D37" s="194"/>
      <c r="E37" s="332"/>
      <c r="F37" s="332"/>
      <c r="G37" s="333"/>
      <c r="H37" s="332"/>
      <c r="I37" s="332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</row>
    <row r="38" spans="1:22" ht="12.75">
      <c r="A38" s="21"/>
      <c r="B38" s="334"/>
      <c r="C38" s="21"/>
      <c r="D38" s="21"/>
      <c r="E38" s="335"/>
      <c r="F38" s="335"/>
      <c r="G38" s="335"/>
      <c r="H38" s="335"/>
      <c r="I38" s="335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</row>
    <row r="39" spans="1:22" ht="12.75">
      <c r="A39" s="194"/>
      <c r="B39" s="81"/>
      <c r="C39" s="194"/>
      <c r="D39" s="194"/>
      <c r="E39" s="332"/>
      <c r="F39" s="332"/>
      <c r="G39" s="332"/>
      <c r="H39" s="332"/>
      <c r="I39" s="332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</row>
    <row r="40" spans="1:22" ht="12.75">
      <c r="A40" s="194"/>
      <c r="B40" s="81"/>
      <c r="C40" s="194"/>
      <c r="D40" s="194"/>
      <c r="E40" s="332"/>
      <c r="F40" s="332"/>
      <c r="G40" s="332"/>
      <c r="H40" s="332"/>
      <c r="I40" s="332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</row>
    <row r="41" spans="1:22" ht="12.75">
      <c r="A41" s="194"/>
      <c r="B41" s="81"/>
      <c r="C41" s="194"/>
      <c r="D41" s="194"/>
      <c r="E41" s="332"/>
      <c r="F41" s="332"/>
      <c r="G41" s="332"/>
      <c r="H41" s="332"/>
      <c r="I41" s="332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</row>
    <row r="42" spans="1:22" ht="12.75">
      <c r="A42" s="194"/>
      <c r="B42" s="81"/>
      <c r="C42" s="194"/>
      <c r="D42" s="194"/>
      <c r="E42" s="332"/>
      <c r="F42" s="332"/>
      <c r="G42" s="333"/>
      <c r="H42" s="332"/>
      <c r="I42" s="332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</row>
    <row r="43" spans="1:22" ht="12.75">
      <c r="A43" s="194"/>
      <c r="B43" s="81"/>
      <c r="C43" s="194"/>
      <c r="D43" s="194"/>
      <c r="E43" s="332"/>
      <c r="F43" s="332"/>
      <c r="G43" s="333"/>
      <c r="H43" s="332"/>
      <c r="I43" s="332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</row>
    <row r="44" spans="1:22" ht="12.75">
      <c r="A44" s="194"/>
      <c r="B44" s="81"/>
      <c r="C44" s="194"/>
      <c r="D44" s="194"/>
      <c r="E44" s="332"/>
      <c r="F44" s="332"/>
      <c r="G44" s="333"/>
      <c r="H44" s="332"/>
      <c r="I44" s="332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</row>
    <row r="45" spans="1:22" ht="12.75">
      <c r="A45" s="194"/>
      <c r="B45" s="81"/>
      <c r="C45" s="194"/>
      <c r="D45" s="194"/>
      <c r="E45" s="332"/>
      <c r="F45" s="332"/>
      <c r="G45" s="333"/>
      <c r="H45" s="332"/>
      <c r="I45" s="332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</row>
    <row r="46" spans="1:22" ht="12.75">
      <c r="A46" s="194"/>
      <c r="B46" s="81"/>
      <c r="C46" s="194"/>
      <c r="D46" s="194"/>
      <c r="E46" s="332"/>
      <c r="F46" s="332"/>
      <c r="G46" s="333"/>
      <c r="H46" s="332"/>
      <c r="I46" s="332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</row>
    <row r="47" spans="1:22" ht="12.75">
      <c r="A47" s="194"/>
      <c r="B47" s="81"/>
      <c r="C47" s="194"/>
      <c r="D47" s="194"/>
      <c r="E47" s="332"/>
      <c r="F47" s="332"/>
      <c r="G47" s="333"/>
      <c r="H47" s="332"/>
      <c r="I47" s="332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</row>
    <row r="48" spans="1:22" ht="12.75">
      <c r="A48" s="194"/>
      <c r="B48" s="81"/>
      <c r="C48" s="194"/>
      <c r="D48" s="194"/>
      <c r="E48" s="332"/>
      <c r="F48" s="332"/>
      <c r="G48" s="333"/>
      <c r="H48" s="332"/>
      <c r="I48" s="332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</row>
    <row r="49" spans="1:22" ht="12.75">
      <c r="A49" s="21"/>
      <c r="B49" s="334"/>
      <c r="C49" s="21"/>
      <c r="D49" s="21"/>
      <c r="E49" s="335"/>
      <c r="F49" s="335"/>
      <c r="G49" s="335"/>
      <c r="H49" s="335"/>
      <c r="I49" s="335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</row>
    <row r="50" spans="1:22" ht="12.75">
      <c r="A50" s="21"/>
      <c r="B50" s="334"/>
      <c r="C50" s="21"/>
      <c r="D50" s="21"/>
      <c r="E50" s="332"/>
      <c r="F50" s="332"/>
      <c r="G50" s="332"/>
      <c r="H50" s="332"/>
      <c r="I50" s="332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</row>
    <row r="51" spans="1:22" ht="12.75">
      <c r="A51" s="21"/>
      <c r="B51" s="334"/>
      <c r="C51" s="21"/>
      <c r="D51" s="21"/>
      <c r="E51" s="332"/>
      <c r="F51" s="332"/>
      <c r="G51" s="332"/>
      <c r="H51" s="332"/>
      <c r="I51" s="332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</row>
    <row r="52" spans="1:22" ht="12.75">
      <c r="A52" s="21"/>
      <c r="B52" s="334"/>
      <c r="C52" s="21"/>
      <c r="D52" s="21"/>
      <c r="E52" s="335"/>
      <c r="F52" s="335"/>
      <c r="G52" s="335"/>
      <c r="H52" s="335"/>
      <c r="I52" s="335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</row>
    <row r="53" spans="1:22" ht="12.75">
      <c r="A53" s="21"/>
      <c r="B53" s="334"/>
      <c r="C53" s="21"/>
      <c r="D53" s="21"/>
      <c r="E53" s="332"/>
      <c r="F53" s="332"/>
      <c r="G53" s="332"/>
      <c r="H53" s="332"/>
      <c r="I53" s="332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</row>
    <row r="54" spans="1:22" ht="12.75">
      <c r="A54" s="21"/>
      <c r="B54" s="334"/>
      <c r="C54" s="21"/>
      <c r="D54" s="21"/>
      <c r="E54" s="332"/>
      <c r="F54" s="332"/>
      <c r="G54" s="332"/>
      <c r="H54" s="332"/>
      <c r="I54" s="332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</row>
    <row r="55" spans="1:22" ht="12.75">
      <c r="A55" s="336"/>
      <c r="B55" s="334"/>
      <c r="C55" s="21"/>
      <c r="D55" s="21"/>
      <c r="E55" s="335"/>
      <c r="F55" s="335"/>
      <c r="G55" s="335"/>
      <c r="H55" s="335"/>
      <c r="I55" s="335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</row>
    <row r="56" spans="1:22" ht="12.75">
      <c r="A56" s="21"/>
      <c r="B56" s="334"/>
      <c r="C56" s="21"/>
      <c r="D56" s="21"/>
      <c r="E56" s="332"/>
      <c r="F56" s="332"/>
      <c r="G56" s="332"/>
      <c r="H56" s="332"/>
      <c r="I56" s="332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</row>
    <row r="57" spans="1:22" ht="12.75">
      <c r="A57" s="21"/>
      <c r="B57" s="334"/>
      <c r="C57" s="21"/>
      <c r="D57" s="21"/>
      <c r="E57" s="332"/>
      <c r="F57" s="332"/>
      <c r="G57" s="332"/>
      <c r="H57" s="332"/>
      <c r="I57" s="332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</row>
    <row r="58" spans="1:22" ht="12.75">
      <c r="A58" s="21"/>
      <c r="B58" s="334"/>
      <c r="C58" s="21"/>
      <c r="D58" s="21"/>
      <c r="E58" s="332"/>
      <c r="F58" s="332"/>
      <c r="G58" s="332"/>
      <c r="H58" s="332"/>
      <c r="I58" s="332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</row>
    <row r="59" spans="1:22" ht="12.75">
      <c r="A59" s="21"/>
      <c r="B59" s="334"/>
      <c r="C59" s="21"/>
      <c r="D59" s="21"/>
      <c r="E59" s="335"/>
      <c r="F59" s="335"/>
      <c r="G59" s="335"/>
      <c r="H59" s="335"/>
      <c r="I59" s="335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</row>
    <row r="60" spans="1:22" ht="12.75">
      <c r="A60" s="21"/>
      <c r="B60" s="334"/>
      <c r="C60" s="21"/>
      <c r="D60" s="21"/>
      <c r="E60" s="332"/>
      <c r="F60" s="332"/>
      <c r="G60" s="332"/>
      <c r="H60" s="332"/>
      <c r="I60" s="332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</row>
    <row r="61" spans="1:22" ht="12.75">
      <c r="A61" s="21"/>
      <c r="B61" s="334"/>
      <c r="C61" s="21"/>
      <c r="D61" s="21"/>
      <c r="E61" s="332"/>
      <c r="F61" s="332"/>
      <c r="G61" s="332"/>
      <c r="H61" s="332"/>
      <c r="I61" s="332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</row>
    <row r="62" spans="1:22" ht="12.75">
      <c r="A62" s="194"/>
      <c r="B62" s="81"/>
      <c r="C62" s="194"/>
      <c r="D62" s="194"/>
      <c r="E62" s="332"/>
      <c r="F62" s="332"/>
      <c r="G62" s="333"/>
      <c r="H62" s="332"/>
      <c r="I62" s="332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</row>
    <row r="63" spans="1:22" ht="12.75">
      <c r="A63" s="21"/>
      <c r="B63" s="334"/>
      <c r="C63" s="21"/>
      <c r="D63" s="21"/>
      <c r="E63" s="332"/>
      <c r="F63" s="332"/>
      <c r="G63" s="332"/>
      <c r="H63" s="332"/>
      <c r="I63" s="332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</row>
    <row r="64" spans="1:22" ht="12.75">
      <c r="A64" s="21"/>
      <c r="B64" s="334"/>
      <c r="C64" s="21"/>
      <c r="D64" s="21"/>
      <c r="E64" s="335"/>
      <c r="F64" s="335"/>
      <c r="G64" s="335"/>
      <c r="H64" s="335"/>
      <c r="I64" s="335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</row>
    <row r="65" spans="1:22" ht="12.75">
      <c r="A65" s="194"/>
      <c r="B65" s="81"/>
      <c r="C65" s="194"/>
      <c r="D65" s="194"/>
      <c r="E65" s="332"/>
      <c r="F65" s="332"/>
      <c r="G65" s="333"/>
      <c r="H65" s="332"/>
      <c r="I65" s="332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</row>
    <row r="66" spans="1:22" ht="12.75">
      <c r="A66" s="194"/>
      <c r="B66" s="81"/>
      <c r="C66" s="194"/>
      <c r="D66" s="194"/>
      <c r="E66" s="332"/>
      <c r="F66" s="332"/>
      <c r="G66" s="333"/>
      <c r="H66" s="332"/>
      <c r="I66" s="332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</row>
    <row r="67" spans="1:22" ht="12.75">
      <c r="A67" s="194"/>
      <c r="B67" s="81"/>
      <c r="C67" s="194"/>
      <c r="D67" s="194"/>
      <c r="E67" s="332"/>
      <c r="F67" s="332"/>
      <c r="G67" s="333"/>
      <c r="H67" s="332"/>
      <c r="I67" s="332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</row>
    <row r="68" spans="1:22" ht="12.75">
      <c r="A68" s="194"/>
      <c r="B68" s="81"/>
      <c r="C68" s="194"/>
      <c r="D68" s="194"/>
      <c r="E68" s="332"/>
      <c r="F68" s="332"/>
      <c r="G68" s="333"/>
      <c r="H68" s="332"/>
      <c r="I68" s="332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</row>
    <row r="69" spans="1:22" ht="12.75">
      <c r="A69" s="194"/>
      <c r="B69" s="81"/>
      <c r="C69" s="194"/>
      <c r="D69" s="194"/>
      <c r="E69" s="332"/>
      <c r="F69" s="332"/>
      <c r="G69" s="333"/>
      <c r="H69" s="332"/>
      <c r="I69" s="332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</row>
    <row r="70" spans="1:22" ht="12.75">
      <c r="A70" s="194"/>
      <c r="B70" s="81"/>
      <c r="C70" s="194"/>
      <c r="D70" s="194"/>
      <c r="E70" s="332"/>
      <c r="F70" s="332"/>
      <c r="G70" s="333"/>
      <c r="H70" s="332"/>
      <c r="I70" s="332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</row>
    <row r="71" spans="1:22" ht="12.75">
      <c r="A71" s="21"/>
      <c r="B71" s="334"/>
      <c r="C71" s="21"/>
      <c r="D71" s="21"/>
      <c r="E71" s="337"/>
      <c r="F71" s="337"/>
      <c r="G71" s="337"/>
      <c r="H71" s="337"/>
      <c r="I71" s="337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</row>
    <row r="72" spans="1:22" ht="12.75">
      <c r="A72" s="21"/>
      <c r="B72" s="334"/>
      <c r="C72" s="21"/>
      <c r="D72" s="21"/>
      <c r="E72" s="335"/>
      <c r="F72" s="335"/>
      <c r="G72" s="335"/>
      <c r="H72" s="335"/>
      <c r="I72" s="335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</row>
    <row r="73" spans="1:22" ht="12.75">
      <c r="A73" s="194"/>
      <c r="B73" s="81"/>
      <c r="C73" s="194"/>
      <c r="D73" s="194"/>
      <c r="E73" s="332"/>
      <c r="F73" s="332"/>
      <c r="G73" s="332"/>
      <c r="H73" s="332"/>
      <c r="I73" s="332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</row>
    <row r="74" spans="1:22" ht="12.75">
      <c r="A74" s="194"/>
      <c r="B74" s="81"/>
      <c r="C74" s="194"/>
      <c r="D74" s="194"/>
      <c r="E74" s="332"/>
      <c r="F74" s="332"/>
      <c r="G74" s="332"/>
      <c r="H74" s="332"/>
      <c r="I74" s="332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</row>
    <row r="75" spans="1:22" ht="12.75">
      <c r="A75" s="194"/>
      <c r="B75" s="81"/>
      <c r="C75" s="194"/>
      <c r="D75" s="194"/>
      <c r="E75" s="332"/>
      <c r="F75" s="332"/>
      <c r="G75" s="332"/>
      <c r="H75" s="332"/>
      <c r="I75" s="332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</row>
    <row r="76" spans="1:22" ht="12.75">
      <c r="A76" s="194"/>
      <c r="B76" s="81"/>
      <c r="C76" s="194"/>
      <c r="D76" s="194"/>
      <c r="E76" s="332"/>
      <c r="F76" s="332"/>
      <c r="G76" s="332"/>
      <c r="H76" s="332"/>
      <c r="I76" s="332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</row>
    <row r="77" spans="1:22" ht="12.75">
      <c r="A77" s="194"/>
      <c r="B77" s="81"/>
      <c r="C77" s="194"/>
      <c r="D77" s="194"/>
      <c r="E77" s="332"/>
      <c r="F77" s="332"/>
      <c r="G77" s="332"/>
      <c r="H77" s="332"/>
      <c r="I77" s="332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</row>
    <row r="78" spans="1:22" ht="12.75">
      <c r="A78" s="194"/>
      <c r="B78" s="81"/>
      <c r="C78" s="194"/>
      <c r="D78" s="194"/>
      <c r="E78" s="332"/>
      <c r="F78" s="332"/>
      <c r="G78" s="332"/>
      <c r="H78" s="332"/>
      <c r="I78" s="332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</row>
    <row r="79" spans="1:22" ht="12.75">
      <c r="A79" s="338"/>
      <c r="B79" s="81"/>
      <c r="C79" s="194"/>
      <c r="D79" s="194"/>
      <c r="E79" s="332"/>
      <c r="F79" s="332"/>
      <c r="G79" s="332"/>
      <c r="H79" s="332"/>
      <c r="I79" s="332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</row>
    <row r="80" spans="1:22" ht="12.75">
      <c r="A80" s="194"/>
      <c r="B80" s="81"/>
      <c r="C80" s="194"/>
      <c r="D80" s="194"/>
      <c r="E80" s="332"/>
      <c r="F80" s="332"/>
      <c r="G80" s="332"/>
      <c r="H80" s="332"/>
      <c r="I80" s="332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</row>
    <row r="81" spans="1:22" ht="12.75">
      <c r="A81" s="21"/>
      <c r="B81" s="334"/>
      <c r="C81" s="21"/>
      <c r="D81" s="21"/>
      <c r="E81" s="335"/>
      <c r="F81" s="335"/>
      <c r="G81" s="335"/>
      <c r="H81" s="335"/>
      <c r="I81" s="335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</row>
    <row r="82" spans="1:22" ht="12.75">
      <c r="A82" s="21"/>
      <c r="B82" s="334"/>
      <c r="C82" s="21"/>
      <c r="D82" s="21"/>
      <c r="E82" s="335"/>
      <c r="F82" s="335"/>
      <c r="G82" s="335"/>
      <c r="H82" s="335"/>
      <c r="I82" s="335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</row>
    <row r="83" spans="1:22" ht="12.75">
      <c r="A83" s="194"/>
      <c r="B83" s="81"/>
      <c r="C83" s="194"/>
      <c r="D83" s="194"/>
      <c r="E83" s="332"/>
      <c r="F83" s="332"/>
      <c r="G83" s="333"/>
      <c r="H83" s="332"/>
      <c r="I83" s="332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</row>
    <row r="84" spans="1:22" ht="12.75">
      <c r="A84" s="194"/>
      <c r="B84" s="81"/>
      <c r="C84" s="194"/>
      <c r="D84" s="194"/>
      <c r="E84" s="332"/>
      <c r="F84" s="332"/>
      <c r="G84" s="333"/>
      <c r="H84" s="332"/>
      <c r="I84" s="332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</row>
    <row r="85" spans="1:22" ht="12.75">
      <c r="A85" s="194"/>
      <c r="B85" s="81"/>
      <c r="C85" s="194"/>
      <c r="D85" s="194"/>
      <c r="E85" s="332"/>
      <c r="F85" s="332"/>
      <c r="G85" s="333"/>
      <c r="H85" s="332"/>
      <c r="I85" s="332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</row>
    <row r="86" spans="1:22" ht="12.75">
      <c r="A86" s="194"/>
      <c r="B86" s="81"/>
      <c r="C86" s="194"/>
      <c r="D86" s="194"/>
      <c r="E86" s="332"/>
      <c r="F86" s="332"/>
      <c r="G86" s="333"/>
      <c r="H86" s="332"/>
      <c r="I86" s="332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</row>
    <row r="87" spans="1:22" ht="12.75">
      <c r="A87" s="194"/>
      <c r="B87" s="81"/>
      <c r="C87" s="194"/>
      <c r="D87" s="194"/>
      <c r="E87" s="332"/>
      <c r="F87" s="332"/>
      <c r="G87" s="333"/>
      <c r="H87" s="332"/>
      <c r="I87" s="332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</row>
    <row r="88" spans="1:22" ht="12.75">
      <c r="A88" s="194"/>
      <c r="B88" s="81"/>
      <c r="C88" s="194"/>
      <c r="D88" s="194"/>
      <c r="E88" s="332"/>
      <c r="F88" s="332"/>
      <c r="G88" s="333"/>
      <c r="H88" s="332"/>
      <c r="I88" s="332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</row>
    <row r="89" spans="1:22" ht="12.75">
      <c r="A89" s="194"/>
      <c r="B89" s="81"/>
      <c r="C89" s="194"/>
      <c r="D89" s="194"/>
      <c r="E89" s="332"/>
      <c r="F89" s="332"/>
      <c r="G89" s="333"/>
      <c r="H89" s="332"/>
      <c r="I89" s="332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</row>
    <row r="90" spans="1:22" ht="12.75">
      <c r="A90" s="21"/>
      <c r="B90" s="334"/>
      <c r="C90" s="21"/>
      <c r="D90" s="21"/>
      <c r="E90" s="337"/>
      <c r="F90" s="337"/>
      <c r="G90" s="337"/>
      <c r="H90" s="337"/>
      <c r="I90" s="337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</row>
    <row r="91" spans="1:22" ht="12.75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</row>
    <row r="92" spans="1:22" ht="12.75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</row>
    <row r="93" spans="1:22" ht="12.75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</row>
    <row r="94" spans="1:22" ht="12.75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</row>
    <row r="95" spans="1:22" ht="12.75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</row>
    <row r="96" spans="1:22" ht="12.75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</row>
    <row r="97" spans="1:22" ht="12.75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</row>
    <row r="98" spans="1:22" ht="12.75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</row>
    <row r="99" spans="1:22" ht="12.75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</row>
    <row r="100" spans="1:22" ht="12.7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</row>
    <row r="101" spans="1:22" ht="12.75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</row>
  </sheetData>
  <sheetProtection selectLockedCells="1" selectUnlockedCells="1"/>
  <mergeCells count="24">
    <mergeCell ref="B2:F2"/>
    <mergeCell ref="B3:F3"/>
    <mergeCell ref="A6:K6"/>
    <mergeCell ref="A9:A10"/>
    <mergeCell ref="B9:B10"/>
    <mergeCell ref="C9:C10"/>
    <mergeCell ref="D9:D10"/>
    <mergeCell ref="E9:E10"/>
    <mergeCell ref="F9:J9"/>
    <mergeCell ref="K9:K10"/>
    <mergeCell ref="A12:A13"/>
    <mergeCell ref="B12:B13"/>
    <mergeCell ref="C12:C13"/>
    <mergeCell ref="A18:K18"/>
    <mergeCell ref="A21:A22"/>
    <mergeCell ref="B21:B22"/>
    <mergeCell ref="C21:C22"/>
    <mergeCell ref="D21:D22"/>
    <mergeCell ref="E21:E22"/>
    <mergeCell ref="F21:J21"/>
    <mergeCell ref="K21:K22"/>
    <mergeCell ref="A24:A25"/>
    <mergeCell ref="B24:B25"/>
    <mergeCell ref="C24:C25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4:J74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L77"/>
  <sheetViews>
    <sheetView workbookViewId="0" topLeftCell="A52">
      <selection activeCell="G69" activeCellId="1" sqref="A74:J74 G69"/>
    </sheetView>
  </sheetViews>
  <sheetFormatPr defaultColWidth="9.00390625" defaultRowHeight="12.75"/>
  <cols>
    <col min="1" max="1" width="11.375" style="17" customWidth="1"/>
    <col min="2" max="2" width="43.625" style="17" customWidth="1"/>
    <col min="3" max="3" width="34.625" style="17" customWidth="1"/>
    <col min="4" max="4" width="6.50390625" style="17" customWidth="1"/>
    <col min="5" max="5" width="5.625" style="17" customWidth="1"/>
    <col min="6" max="6" width="6.375" style="17" customWidth="1"/>
    <col min="7" max="16384" width="9.375" style="17" customWidth="1"/>
  </cols>
  <sheetData>
    <row r="1" spans="1:5" ht="8.25" customHeight="1">
      <c r="A1" s="18"/>
      <c r="B1" s="18"/>
      <c r="C1" s="18"/>
      <c r="D1" s="18"/>
      <c r="E1" s="19"/>
    </row>
    <row r="2" spans="1:5" ht="12.75" hidden="1">
      <c r="A2" s="18"/>
      <c r="B2" s="18"/>
      <c r="C2" s="18"/>
      <c r="D2" s="18"/>
      <c r="E2" s="19"/>
    </row>
    <row r="3" spans="1:5" s="7" customFormat="1" ht="15" customHeight="1" hidden="1">
      <c r="A3" s="20"/>
      <c r="B3" s="20"/>
      <c r="C3" s="20"/>
      <c r="D3" s="20"/>
      <c r="E3" s="10"/>
    </row>
    <row r="4" spans="1:5" ht="6.75" customHeight="1">
      <c r="A4" s="19"/>
      <c r="B4" s="19"/>
      <c r="C4" s="19"/>
      <c r="D4" s="19"/>
      <c r="E4" s="19"/>
    </row>
    <row r="5" spans="1:5" ht="12.75">
      <c r="A5" s="21"/>
      <c r="B5" s="21"/>
      <c r="C5" s="21"/>
      <c r="D5" s="19"/>
      <c r="E5" s="19"/>
    </row>
    <row r="6" spans="1:5" ht="18.75" customHeight="1">
      <c r="A6" s="22" t="s">
        <v>24</v>
      </c>
      <c r="B6" s="22"/>
      <c r="C6" s="22"/>
      <c r="D6" s="22"/>
      <c r="E6" s="19"/>
    </row>
    <row r="7" spans="1:5" ht="12.75" customHeight="1">
      <c r="A7" s="23"/>
      <c r="B7" s="24" t="s">
        <v>25</v>
      </c>
      <c r="C7" s="24"/>
      <c r="D7" s="19"/>
      <c r="E7" s="19"/>
    </row>
    <row r="8" spans="1:5" ht="12.75">
      <c r="A8" s="25"/>
      <c r="B8" s="25"/>
      <c r="C8" s="25"/>
      <c r="D8" s="19"/>
      <c r="E8" s="19"/>
    </row>
    <row r="9" spans="1:5" ht="12.75">
      <c r="A9" s="26"/>
      <c r="D9" s="19"/>
      <c r="E9" s="19"/>
    </row>
    <row r="10" spans="1:5" ht="12.75">
      <c r="A10" s="27" t="s">
        <v>4</v>
      </c>
      <c r="B10" s="28" t="s">
        <v>5</v>
      </c>
      <c r="C10" s="28"/>
      <c r="D10" s="19"/>
      <c r="E10" s="19"/>
    </row>
    <row r="11" spans="1:5" ht="12.75">
      <c r="A11" s="29"/>
      <c r="B11" s="30"/>
      <c r="C11" s="31"/>
      <c r="D11" s="19"/>
      <c r="E11" s="19"/>
    </row>
    <row r="12" spans="1:5" ht="12.75" customHeight="1">
      <c r="A12" s="32"/>
      <c r="B12" s="33" t="s">
        <v>26</v>
      </c>
      <c r="C12" s="33"/>
      <c r="D12" s="19"/>
      <c r="E12" s="19"/>
    </row>
    <row r="13" spans="1:5" ht="42.75" customHeight="1">
      <c r="A13" s="34"/>
      <c r="B13" s="35" t="s">
        <v>1</v>
      </c>
      <c r="C13" s="35"/>
      <c r="D13" s="19"/>
      <c r="E13" s="19"/>
    </row>
    <row r="14" spans="1:5" ht="12.75">
      <c r="A14" s="36"/>
      <c r="B14" s="37" t="s">
        <v>27</v>
      </c>
      <c r="C14" s="37"/>
      <c r="D14" s="19"/>
      <c r="E14" s="19"/>
    </row>
    <row r="15" spans="1:5" ht="48" customHeight="1">
      <c r="A15" s="38"/>
      <c r="B15" s="35" t="s">
        <v>28</v>
      </c>
      <c r="C15" s="35"/>
      <c r="D15" s="19"/>
      <c r="E15" s="19"/>
    </row>
    <row r="16" spans="1:5" ht="12.75">
      <c r="A16" s="32"/>
      <c r="B16" s="39" t="s">
        <v>29</v>
      </c>
      <c r="C16" s="35" t="s">
        <v>30</v>
      </c>
      <c r="D16" s="19"/>
      <c r="E16" s="19"/>
    </row>
    <row r="17" spans="1:5" ht="12.75">
      <c r="A17" s="32"/>
      <c r="B17" s="40" t="s">
        <v>31</v>
      </c>
      <c r="C17" s="41" t="s">
        <v>32</v>
      </c>
      <c r="D17" s="19"/>
      <c r="E17" s="19"/>
    </row>
    <row r="18" spans="1:5" ht="12.75">
      <c r="A18" s="32"/>
      <c r="B18" s="40" t="s">
        <v>33</v>
      </c>
      <c r="C18" s="41" t="s">
        <v>32</v>
      </c>
      <c r="D18" s="19"/>
      <c r="E18" s="19"/>
    </row>
    <row r="19" spans="1:5" ht="12.75">
      <c r="A19" s="32"/>
      <c r="B19" s="40" t="s">
        <v>34</v>
      </c>
      <c r="C19" s="42" t="s">
        <v>35</v>
      </c>
      <c r="D19" s="19"/>
      <c r="E19" s="19"/>
    </row>
    <row r="20" spans="1:5" ht="12.75">
      <c r="A20" s="36"/>
      <c r="B20" s="40" t="s">
        <v>36</v>
      </c>
      <c r="C20" s="43" t="s">
        <v>37</v>
      </c>
      <c r="D20" s="19"/>
      <c r="E20" s="19"/>
    </row>
    <row r="21" spans="1:5" ht="12.75">
      <c r="A21" s="32"/>
      <c r="B21" s="40" t="s">
        <v>38</v>
      </c>
      <c r="C21" s="44" t="s">
        <v>39</v>
      </c>
      <c r="D21" s="19"/>
      <c r="E21" s="19"/>
    </row>
    <row r="22" spans="1:5" ht="12.75">
      <c r="A22" s="32"/>
      <c r="B22" s="40" t="s">
        <v>40</v>
      </c>
      <c r="C22" s="41" t="s">
        <v>41</v>
      </c>
      <c r="D22" s="19"/>
      <c r="E22" s="19"/>
    </row>
    <row r="23" spans="1:5" ht="12.75">
      <c r="A23" s="32"/>
      <c r="B23" s="40" t="s">
        <v>42</v>
      </c>
      <c r="C23" s="41" t="s">
        <v>43</v>
      </c>
      <c r="D23" s="19"/>
      <c r="E23" s="19"/>
    </row>
    <row r="24" spans="1:5" ht="12.75">
      <c r="A24" s="32"/>
      <c r="B24" s="40" t="s">
        <v>44</v>
      </c>
      <c r="C24" s="41" t="s">
        <v>45</v>
      </c>
      <c r="D24" s="19"/>
      <c r="E24" s="19"/>
    </row>
    <row r="25" spans="1:5" ht="12.75">
      <c r="A25" s="32"/>
      <c r="B25" s="40" t="s">
        <v>46</v>
      </c>
      <c r="C25" s="41" t="s">
        <v>47</v>
      </c>
      <c r="D25" s="19"/>
      <c r="E25" s="19"/>
    </row>
    <row r="26" spans="1:5" ht="12.75">
      <c r="A26" s="32"/>
      <c r="B26" s="40" t="s">
        <v>48</v>
      </c>
      <c r="C26" s="41" t="s">
        <v>49</v>
      </c>
      <c r="D26" s="19"/>
      <c r="E26" s="19"/>
    </row>
    <row r="27" spans="1:5" ht="12.75">
      <c r="A27" s="32"/>
      <c r="B27" s="40" t="s">
        <v>46</v>
      </c>
      <c r="C27" s="41" t="s">
        <v>50</v>
      </c>
      <c r="D27" s="19"/>
      <c r="E27" s="19"/>
    </row>
    <row r="28" spans="1:5" ht="12.75">
      <c r="A28" s="36"/>
      <c r="B28" s="40" t="s">
        <v>51</v>
      </c>
      <c r="C28" s="45">
        <v>40118</v>
      </c>
      <c r="D28" s="19"/>
      <c r="E28" s="19"/>
    </row>
    <row r="29" spans="1:5" ht="12.75">
      <c r="A29" s="36"/>
      <c r="B29" s="40" t="s">
        <v>52</v>
      </c>
      <c r="C29" s="46">
        <v>602</v>
      </c>
      <c r="D29" s="19"/>
      <c r="E29" s="19"/>
    </row>
    <row r="30" spans="1:5" ht="12.75">
      <c r="A30" s="34"/>
      <c r="B30" s="34"/>
      <c r="C30" s="34"/>
      <c r="D30" s="19"/>
      <c r="E30" s="19"/>
    </row>
    <row r="31" spans="1:5" ht="12.75">
      <c r="A31" s="47"/>
      <c r="B31" s="37" t="s">
        <v>53</v>
      </c>
      <c r="C31" s="37"/>
      <c r="D31" s="19"/>
      <c r="E31" s="19"/>
    </row>
    <row r="32" spans="1:5" ht="12.75">
      <c r="A32" s="38"/>
      <c r="B32" s="48" t="s">
        <v>54</v>
      </c>
      <c r="C32" s="41" t="s">
        <v>55</v>
      </c>
      <c r="D32" s="19"/>
      <c r="E32" s="19"/>
    </row>
    <row r="33" spans="1:5" ht="12.75">
      <c r="A33" s="38"/>
      <c r="B33" s="49" t="s">
        <v>56</v>
      </c>
      <c r="C33" s="50">
        <v>1095105001067</v>
      </c>
      <c r="D33" s="19"/>
      <c r="E33" s="19"/>
    </row>
    <row r="34" spans="1:5" ht="12.75">
      <c r="A34" s="51"/>
      <c r="B34" s="49" t="s">
        <v>57</v>
      </c>
      <c r="C34" s="52">
        <v>5112021086</v>
      </c>
      <c r="D34" s="19"/>
      <c r="E34" s="19"/>
    </row>
    <row r="35" spans="1:5" ht="188.25" customHeight="1">
      <c r="A35" s="51"/>
      <c r="B35" s="35" t="s">
        <v>58</v>
      </c>
      <c r="C35" s="41" t="s">
        <v>59</v>
      </c>
      <c r="D35" s="19"/>
      <c r="E35" s="19"/>
    </row>
    <row r="36" spans="1:5" ht="49.5" customHeight="1">
      <c r="A36" s="51"/>
      <c r="B36" s="49" t="s">
        <v>60</v>
      </c>
      <c r="C36" s="53" t="s">
        <v>39</v>
      </c>
      <c r="D36" s="19"/>
      <c r="E36" s="19"/>
    </row>
    <row r="37" spans="1:5" ht="12.75">
      <c r="A37" s="51"/>
      <c r="B37" s="35" t="s">
        <v>61</v>
      </c>
      <c r="C37" s="53" t="s">
        <v>39</v>
      </c>
      <c r="D37" s="19"/>
      <c r="E37" s="19"/>
    </row>
    <row r="38" spans="1:5" ht="12.75">
      <c r="A38" s="54"/>
      <c r="B38" s="49"/>
      <c r="C38" s="53"/>
      <c r="D38" s="19"/>
      <c r="E38" s="19"/>
    </row>
    <row r="39" spans="1:5" ht="12.75" customHeight="1">
      <c r="A39" s="55"/>
      <c r="B39" s="56" t="s">
        <v>62</v>
      </c>
      <c r="C39" s="56"/>
      <c r="D39" s="19"/>
      <c r="E39" s="19"/>
    </row>
    <row r="40" spans="1:5" ht="12.75">
      <c r="A40" s="38"/>
      <c r="B40" s="49" t="s">
        <v>63</v>
      </c>
      <c r="C40" s="46" t="s">
        <v>64</v>
      </c>
      <c r="D40" s="19"/>
      <c r="E40" s="19"/>
    </row>
    <row r="41" spans="1:5" ht="12.75">
      <c r="A41" s="38"/>
      <c r="B41" s="48" t="s">
        <v>65</v>
      </c>
      <c r="C41" s="46" t="s">
        <v>64</v>
      </c>
      <c r="D41" s="19"/>
      <c r="E41" s="19"/>
    </row>
    <row r="42" spans="1:5" ht="12.75">
      <c r="A42" s="38"/>
      <c r="B42" s="48" t="s">
        <v>66</v>
      </c>
      <c r="C42" s="57" t="s">
        <v>64</v>
      </c>
      <c r="D42" s="19"/>
      <c r="E42" s="19"/>
    </row>
    <row r="43" spans="1:5" ht="12.75">
      <c r="A43" s="51"/>
      <c r="B43" s="35" t="s">
        <v>34</v>
      </c>
      <c r="C43" s="57" t="s">
        <v>64</v>
      </c>
      <c r="D43" s="19"/>
      <c r="E43" s="19"/>
    </row>
    <row r="44" spans="1:5" ht="12.75">
      <c r="A44" s="51"/>
      <c r="B44" s="35" t="s">
        <v>36</v>
      </c>
      <c r="C44" s="57" t="s">
        <v>64</v>
      </c>
      <c r="D44" s="19"/>
      <c r="E44" s="19"/>
    </row>
    <row r="45" spans="1:5" ht="12.75">
      <c r="A45" s="51"/>
      <c r="B45" s="35" t="s">
        <v>67</v>
      </c>
      <c r="C45" s="57" t="s">
        <v>64</v>
      </c>
      <c r="D45" s="19"/>
      <c r="E45" s="19"/>
    </row>
    <row r="46" spans="1:5" ht="12.75">
      <c r="A46" s="54"/>
      <c r="B46" s="35" t="s">
        <v>68</v>
      </c>
      <c r="C46" s="57" t="s">
        <v>64</v>
      </c>
      <c r="D46" s="19"/>
      <c r="E46" s="19"/>
    </row>
    <row r="47" spans="1:5" ht="12.75">
      <c r="A47" s="58"/>
      <c r="B47" s="35" t="s">
        <v>69</v>
      </c>
      <c r="C47" s="59" t="s">
        <v>64</v>
      </c>
      <c r="D47" s="19"/>
      <c r="E47" s="19"/>
    </row>
    <row r="48" spans="1:3" ht="12.75">
      <c r="A48" s="60"/>
      <c r="B48" s="61"/>
      <c r="C48" s="60"/>
    </row>
    <row r="49" spans="1:3" ht="12.75">
      <c r="A49" s="62"/>
      <c r="B49" s="37" t="s">
        <v>70</v>
      </c>
      <c r="C49" s="37"/>
    </row>
    <row r="50" spans="1:3" ht="12.75">
      <c r="A50" s="63"/>
      <c r="B50" s="49" t="s">
        <v>71</v>
      </c>
      <c r="C50" s="64" t="s">
        <v>64</v>
      </c>
    </row>
    <row r="51" spans="1:3" ht="12.75">
      <c r="A51" s="63"/>
      <c r="B51" s="49" t="s">
        <v>72</v>
      </c>
      <c r="C51" s="64" t="s">
        <v>64</v>
      </c>
    </row>
    <row r="52" spans="1:3" ht="12.75">
      <c r="A52" s="63"/>
      <c r="B52" s="49" t="s">
        <v>73</v>
      </c>
      <c r="C52" s="64" t="s">
        <v>64</v>
      </c>
    </row>
    <row r="53" spans="1:3" ht="12.75">
      <c r="A53" s="63"/>
      <c r="B53" s="49" t="s">
        <v>74</v>
      </c>
      <c r="C53" s="64" t="s">
        <v>64</v>
      </c>
    </row>
    <row r="54" spans="1:3" ht="12.75">
      <c r="A54" s="63"/>
      <c r="B54" s="49" t="s">
        <v>75</v>
      </c>
      <c r="C54" s="64" t="s">
        <v>64</v>
      </c>
    </row>
    <row r="55" spans="1:3" ht="12.75">
      <c r="A55" s="63"/>
      <c r="B55" s="49" t="s">
        <v>76</v>
      </c>
      <c r="C55" s="64" t="s">
        <v>64</v>
      </c>
    </row>
    <row r="56" spans="1:3" ht="12.75">
      <c r="A56" s="65"/>
      <c r="B56" s="66"/>
      <c r="C56" s="67"/>
    </row>
    <row r="57" spans="1:3" ht="12.75">
      <c r="A57" s="68"/>
      <c r="B57" s="37" t="s">
        <v>77</v>
      </c>
      <c r="C57" s="37"/>
    </row>
    <row r="58" spans="1:3" ht="12.75">
      <c r="A58" s="51"/>
      <c r="B58" s="69" t="s">
        <v>78</v>
      </c>
      <c r="C58" s="70">
        <v>1115.1</v>
      </c>
    </row>
    <row r="59" spans="1:3" ht="50.25" customHeight="1">
      <c r="A59" s="51"/>
      <c r="B59" s="71" t="s">
        <v>79</v>
      </c>
      <c r="C59" s="41" t="s">
        <v>80</v>
      </c>
    </row>
    <row r="60" spans="1:3" ht="12.75">
      <c r="A60" s="51"/>
      <c r="B60" s="42"/>
      <c r="C60" s="53"/>
    </row>
    <row r="61" spans="1:3" ht="12.75">
      <c r="A61" s="51"/>
      <c r="B61" s="42"/>
      <c r="C61" s="53"/>
    </row>
    <row r="62" spans="1:3" ht="12.75">
      <c r="A62" s="51"/>
      <c r="B62" s="42"/>
      <c r="C62" s="72"/>
    </row>
    <row r="63" spans="1:3" ht="12.75">
      <c r="A63" s="51"/>
      <c r="B63" s="42"/>
      <c r="C63" s="73"/>
    </row>
    <row r="64" spans="1:3" ht="12.75">
      <c r="A64" s="51"/>
      <c r="B64" s="74"/>
      <c r="C64" s="53"/>
    </row>
    <row r="65" spans="1:12" ht="12.75" customHeight="1">
      <c r="A65" s="68"/>
      <c r="B65" s="56" t="s">
        <v>81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>
      <c r="A66" s="54"/>
      <c r="B66" s="75"/>
      <c r="C66" s="76"/>
      <c r="D66" s="76">
        <v>2009</v>
      </c>
      <c r="E66" s="76">
        <v>2010</v>
      </c>
      <c r="F66" s="76">
        <v>2011</v>
      </c>
      <c r="G66" s="42">
        <v>2012</v>
      </c>
      <c r="H66" s="42">
        <v>2013</v>
      </c>
      <c r="I66" s="42">
        <v>2014</v>
      </c>
      <c r="J66" s="77">
        <v>2015</v>
      </c>
      <c r="K66" s="77">
        <v>2016</v>
      </c>
      <c r="L66" s="77">
        <v>2017</v>
      </c>
    </row>
    <row r="67" spans="1:12" ht="12.75">
      <c r="A67" s="54"/>
      <c r="B67" s="78" t="s">
        <v>82</v>
      </c>
      <c r="C67" s="53"/>
      <c r="D67" s="42">
        <v>67.2</v>
      </c>
      <c r="E67" s="42">
        <v>67.3</v>
      </c>
      <c r="F67" s="42">
        <v>59.9</v>
      </c>
      <c r="G67" s="42">
        <v>59.9</v>
      </c>
      <c r="H67" s="42">
        <v>59.9</v>
      </c>
      <c r="I67" s="42">
        <v>60.5</v>
      </c>
      <c r="J67" s="77">
        <v>59.6</v>
      </c>
      <c r="K67" s="77">
        <v>60.4</v>
      </c>
      <c r="L67" s="77">
        <v>60.9</v>
      </c>
    </row>
    <row r="68" spans="1:12" ht="12.75">
      <c r="A68" s="51"/>
      <c r="B68" s="79" t="s">
        <v>83</v>
      </c>
      <c r="C68" s="53"/>
      <c r="D68" s="80" t="s">
        <v>64</v>
      </c>
      <c r="E68" s="80" t="s">
        <v>64</v>
      </c>
      <c r="F68" s="80" t="s">
        <v>64</v>
      </c>
      <c r="G68" s="80" t="s">
        <v>64</v>
      </c>
      <c r="H68" s="80" t="s">
        <v>64</v>
      </c>
      <c r="I68" s="80" t="s">
        <v>64</v>
      </c>
      <c r="J68" s="80" t="s">
        <v>64</v>
      </c>
      <c r="K68" s="80" t="s">
        <v>64</v>
      </c>
      <c r="L68" s="77"/>
    </row>
    <row r="69" spans="1:12" ht="12.75">
      <c r="A69" s="51"/>
      <c r="B69" s="49" t="s">
        <v>84</v>
      </c>
      <c r="C69" s="53"/>
      <c r="D69" s="80" t="s">
        <v>64</v>
      </c>
      <c r="E69" s="80" t="s">
        <v>64</v>
      </c>
      <c r="F69" s="80" t="s">
        <v>64</v>
      </c>
      <c r="G69" s="80" t="s">
        <v>64</v>
      </c>
      <c r="H69" s="80" t="s">
        <v>64</v>
      </c>
      <c r="I69" s="80" t="s">
        <v>64</v>
      </c>
      <c r="J69" s="80" t="s">
        <v>64</v>
      </c>
      <c r="K69" s="80" t="s">
        <v>64</v>
      </c>
      <c r="L69" s="77"/>
    </row>
    <row r="70" spans="1:12" ht="12.75">
      <c r="A70" s="51"/>
      <c r="B70" s="49" t="s">
        <v>85</v>
      </c>
      <c r="C70" s="53"/>
      <c r="D70" s="80" t="s">
        <v>64</v>
      </c>
      <c r="E70" s="80" t="s">
        <v>64</v>
      </c>
      <c r="F70" s="80" t="s">
        <v>64</v>
      </c>
      <c r="G70" s="80" t="s">
        <v>64</v>
      </c>
      <c r="H70" s="80" t="s">
        <v>64</v>
      </c>
      <c r="I70" s="80" t="s">
        <v>64</v>
      </c>
      <c r="J70" s="80" t="s">
        <v>64</v>
      </c>
      <c r="K70" s="80" t="s">
        <v>64</v>
      </c>
      <c r="L70" s="77"/>
    </row>
    <row r="71" spans="1:12" ht="12.75">
      <c r="A71" s="51"/>
      <c r="B71" s="49" t="s">
        <v>86</v>
      </c>
      <c r="C71" s="53"/>
      <c r="D71" s="80" t="s">
        <v>64</v>
      </c>
      <c r="E71" s="80" t="s">
        <v>64</v>
      </c>
      <c r="F71" s="80" t="s">
        <v>64</v>
      </c>
      <c r="G71" s="80" t="s">
        <v>64</v>
      </c>
      <c r="H71" s="80" t="s">
        <v>64</v>
      </c>
      <c r="I71" s="80" t="s">
        <v>64</v>
      </c>
      <c r="J71" s="80" t="s">
        <v>64</v>
      </c>
      <c r="K71" s="80" t="s">
        <v>64</v>
      </c>
      <c r="L71" s="77"/>
    </row>
    <row r="72" spans="1:8" ht="12.75">
      <c r="A72" s="65"/>
      <c r="B72" s="81"/>
      <c r="C72" s="67"/>
      <c r="D72" s="82"/>
      <c r="E72" s="82"/>
      <c r="F72" s="82"/>
      <c r="G72" s="19"/>
      <c r="H72" s="19"/>
    </row>
    <row r="73" spans="1:3" ht="12.75">
      <c r="A73" s="66"/>
      <c r="B73" s="83" t="s">
        <v>87</v>
      </c>
      <c r="C73" s="84"/>
    </row>
    <row r="74" spans="1:3" ht="12.75">
      <c r="A74" s="66"/>
      <c r="B74" s="83"/>
      <c r="C74" s="85"/>
    </row>
    <row r="75" spans="1:3" ht="12.75">
      <c r="A75" s="66"/>
      <c r="B75" s="83"/>
      <c r="C75" s="85"/>
    </row>
    <row r="76" spans="1:3" ht="12.75">
      <c r="A76" s="66"/>
      <c r="B76" s="83"/>
      <c r="C76" s="85"/>
    </row>
    <row r="77" spans="1:3" ht="12.75">
      <c r="A77" s="66"/>
      <c r="B77" s="83"/>
      <c r="C77" s="85"/>
    </row>
  </sheetData>
  <sheetProtection selectLockedCells="1" selectUnlockedCells="1"/>
  <mergeCells count="17">
    <mergeCell ref="A1:D1"/>
    <mergeCell ref="A2:D2"/>
    <mergeCell ref="A3:D3"/>
    <mergeCell ref="B5:C5"/>
    <mergeCell ref="A6:D6"/>
    <mergeCell ref="B7:C7"/>
    <mergeCell ref="B10:C10"/>
    <mergeCell ref="B12:C12"/>
    <mergeCell ref="B13:C13"/>
    <mergeCell ref="B14:C14"/>
    <mergeCell ref="B15:C15"/>
    <mergeCell ref="A30:C30"/>
    <mergeCell ref="B31:C31"/>
    <mergeCell ref="B39:C39"/>
    <mergeCell ref="B49:C49"/>
    <mergeCell ref="B57:C57"/>
    <mergeCell ref="B65:L65"/>
  </mergeCells>
  <hyperlinks>
    <hyperlink ref="C20" r:id="rId1" display="Snegnogorsk@socmurman.ru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I80"/>
  <sheetViews>
    <sheetView tabSelected="1" zoomScaleSheetLayoutView="100" workbookViewId="0" topLeftCell="A65">
      <selection activeCell="J74" sqref="A74:J74"/>
    </sheetView>
  </sheetViews>
  <sheetFormatPr defaultColWidth="9.00390625" defaultRowHeight="12.75"/>
  <cols>
    <col min="1" max="1" width="7.375" style="17" customWidth="1"/>
    <col min="2" max="2" width="32.375" style="17" customWidth="1"/>
    <col min="3" max="3" width="27.00390625" style="17" customWidth="1"/>
    <col min="4" max="4" width="19.00390625" style="86" customWidth="1"/>
    <col min="5" max="5" width="24.625" style="86" customWidth="1"/>
    <col min="6" max="6" width="14.375" style="17" customWidth="1"/>
    <col min="7" max="16384" width="9.375" style="17" customWidth="1"/>
  </cols>
  <sheetData>
    <row r="1" spans="1:5" ht="12.75">
      <c r="A1" s="18" t="s">
        <v>88</v>
      </c>
      <c r="B1" s="18"/>
      <c r="C1" s="18"/>
      <c r="D1" s="18"/>
      <c r="E1" s="18"/>
    </row>
    <row r="2" spans="1:35" ht="12.75">
      <c r="A2" s="87" t="s">
        <v>24</v>
      </c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s="7" customFormat="1" ht="9.75" customHeight="1">
      <c r="A3" s="89"/>
      <c r="B3" s="89" t="s">
        <v>25</v>
      </c>
      <c r="C3" s="89"/>
      <c r="D3" s="89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5" ht="13.5" customHeight="1">
      <c r="A4" s="88"/>
      <c r="B4" s="88"/>
      <c r="C4" s="88"/>
      <c r="D4" s="91"/>
      <c r="E4" s="91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</row>
    <row r="5" spans="1:35" ht="69.75" customHeight="1" hidden="1">
      <c r="A5" s="92"/>
      <c r="B5" s="92"/>
      <c r="C5" s="93"/>
      <c r="D5" s="94"/>
      <c r="E5" s="94"/>
      <c r="F5" s="95" t="s">
        <v>89</v>
      </c>
      <c r="G5" s="95" t="s">
        <v>89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</row>
    <row r="6" spans="1:35" s="100" customFormat="1" ht="45" customHeight="1">
      <c r="A6" s="34"/>
      <c r="B6" s="96" t="s">
        <v>90</v>
      </c>
      <c r="C6" s="97" t="s">
        <v>91</v>
      </c>
      <c r="D6" s="98" t="s">
        <v>92</v>
      </c>
      <c r="E6" s="98" t="s">
        <v>93</v>
      </c>
      <c r="F6" s="95"/>
      <c r="G6" s="95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69.75" customHeight="1">
      <c r="A7" s="101">
        <v>1</v>
      </c>
      <c r="B7" s="102" t="s">
        <v>94</v>
      </c>
      <c r="C7" s="103" t="s">
        <v>95</v>
      </c>
      <c r="D7" s="104" t="s">
        <v>96</v>
      </c>
      <c r="E7" s="105">
        <v>12422425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ht="70.5" customHeight="1">
      <c r="A8" s="38">
        <v>2</v>
      </c>
      <c r="B8" s="106" t="s">
        <v>97</v>
      </c>
      <c r="C8" s="103"/>
      <c r="D8" s="107">
        <v>930</v>
      </c>
      <c r="E8" s="108">
        <v>42589993.45999999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ht="63" customHeight="1">
      <c r="A9" s="38">
        <v>3</v>
      </c>
      <c r="B9" s="109" t="s">
        <v>98</v>
      </c>
      <c r="C9" s="103"/>
      <c r="D9" s="107" t="s">
        <v>99</v>
      </c>
      <c r="E9" s="110">
        <v>12604564.74</v>
      </c>
      <c r="F9" s="88"/>
      <c r="G9" s="88"/>
      <c r="H9" s="88"/>
      <c r="I9" s="111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s="100" customFormat="1" ht="91.5" customHeight="1">
      <c r="A10" s="38"/>
      <c r="B10" s="112" t="s">
        <v>100</v>
      </c>
      <c r="C10" s="103" t="s">
        <v>101</v>
      </c>
      <c r="D10" s="104">
        <f>D11+D12+D13+D14</f>
        <v>5931</v>
      </c>
      <c r="E10" s="113">
        <f>E11+E12+E13+E14</f>
        <v>48919409.300000004</v>
      </c>
      <c r="F10" s="114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ht="43.5" customHeight="1">
      <c r="A11" s="38">
        <v>4</v>
      </c>
      <c r="B11" s="102" t="s">
        <v>102</v>
      </c>
      <c r="C11" s="103"/>
      <c r="D11" s="104">
        <v>3799</v>
      </c>
      <c r="E11" s="110">
        <v>43783415.56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ht="16.5" customHeight="1">
      <c r="A12" s="38">
        <v>5</v>
      </c>
      <c r="B12" s="102" t="s">
        <v>103</v>
      </c>
      <c r="C12" s="103"/>
      <c r="D12" s="104">
        <v>0</v>
      </c>
      <c r="E12" s="110">
        <v>1770.4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s="100" customFormat="1" ht="51.75" customHeight="1">
      <c r="A13" s="38">
        <v>6</v>
      </c>
      <c r="B13" s="115" t="s">
        <v>104</v>
      </c>
      <c r="C13" s="103"/>
      <c r="D13" s="104">
        <v>9</v>
      </c>
      <c r="E13" s="110">
        <v>118214.6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</row>
    <row r="14" spans="1:35" ht="48.75" customHeight="1">
      <c r="A14" s="38">
        <v>7</v>
      </c>
      <c r="B14" s="116" t="s">
        <v>105</v>
      </c>
      <c r="C14" s="103"/>
      <c r="D14" s="104">
        <v>2123</v>
      </c>
      <c r="E14" s="117">
        <v>5016008.74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s="100" customFormat="1" ht="51.75" customHeight="1">
      <c r="A15" s="38"/>
      <c r="B15" s="118" t="s">
        <v>106</v>
      </c>
      <c r="C15" s="103"/>
      <c r="D15" s="46">
        <f>D16+29</f>
        <v>3772</v>
      </c>
      <c r="E15" s="119">
        <f>E16+E17</f>
        <v>72494704.03999999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</row>
    <row r="16" spans="1:35" ht="47.25" customHeight="1">
      <c r="A16" s="38">
        <v>8</v>
      </c>
      <c r="B16" s="102" t="s">
        <v>102</v>
      </c>
      <c r="C16" s="103"/>
      <c r="D16" s="104">
        <v>3743</v>
      </c>
      <c r="E16" s="110">
        <v>72139308.38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38.25">
      <c r="A17" s="38">
        <v>9</v>
      </c>
      <c r="B17" s="102" t="s">
        <v>104</v>
      </c>
      <c r="C17" s="103"/>
      <c r="D17" s="120">
        <v>10</v>
      </c>
      <c r="E17" s="110">
        <v>355395.66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ht="43.5" customHeight="1">
      <c r="A18" s="38">
        <v>10</v>
      </c>
      <c r="B18" s="106" t="s">
        <v>107</v>
      </c>
      <c r="C18" s="103"/>
      <c r="D18" s="104">
        <v>0</v>
      </c>
      <c r="E18" s="110"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50.25" customHeight="1">
      <c r="A19" s="121">
        <v>11</v>
      </c>
      <c r="B19" s="106" t="s">
        <v>108</v>
      </c>
      <c r="C19" s="103"/>
      <c r="D19" s="104">
        <v>0</v>
      </c>
      <c r="E19" s="110">
        <v>0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159.75" customHeight="1">
      <c r="A20" s="121">
        <v>12</v>
      </c>
      <c r="B20" s="106" t="s">
        <v>109</v>
      </c>
      <c r="C20" s="102" t="s">
        <v>110</v>
      </c>
      <c r="D20" s="104">
        <v>21</v>
      </c>
      <c r="E20" s="122">
        <v>58957.18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s="100" customFormat="1" ht="116.25" customHeight="1">
      <c r="A21" s="38">
        <v>13</v>
      </c>
      <c r="B21" s="115" t="s">
        <v>111</v>
      </c>
      <c r="C21" s="115" t="s">
        <v>112</v>
      </c>
      <c r="D21" s="46" t="s">
        <v>113</v>
      </c>
      <c r="E21" s="110">
        <v>28326419.179999996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</row>
    <row r="22" spans="1:35" ht="72" customHeight="1">
      <c r="A22" s="121">
        <v>14</v>
      </c>
      <c r="B22" s="102" t="s">
        <v>114</v>
      </c>
      <c r="C22" s="102" t="s">
        <v>115</v>
      </c>
      <c r="D22" s="46" t="s">
        <v>116</v>
      </c>
      <c r="E22" s="123">
        <v>7994578.48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53.25" customHeight="1">
      <c r="A23" s="121">
        <v>15</v>
      </c>
      <c r="B23" s="106" t="s">
        <v>117</v>
      </c>
      <c r="C23" s="103" t="s">
        <v>118</v>
      </c>
      <c r="D23" s="124">
        <v>294</v>
      </c>
      <c r="E23" s="125">
        <v>792135.96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ht="66.75" customHeight="1">
      <c r="A24" s="121">
        <v>16</v>
      </c>
      <c r="B24" s="106" t="s">
        <v>119</v>
      </c>
      <c r="C24" s="103"/>
      <c r="D24" s="124">
        <v>40</v>
      </c>
      <c r="E24" s="125">
        <v>282104.31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ht="68.25" customHeight="1">
      <c r="A25" s="121">
        <v>17</v>
      </c>
      <c r="B25" s="106" t="s">
        <v>120</v>
      </c>
      <c r="C25" s="103"/>
      <c r="D25" s="126">
        <v>20</v>
      </c>
      <c r="E25" s="127">
        <v>269433.4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</row>
    <row r="26" spans="1:35" ht="79.5" customHeight="1">
      <c r="A26" s="121">
        <v>18</v>
      </c>
      <c r="B26" s="106" t="s">
        <v>121</v>
      </c>
      <c r="C26" s="102" t="s">
        <v>122</v>
      </c>
      <c r="D26" s="46">
        <v>0</v>
      </c>
      <c r="E26" s="123">
        <v>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</row>
    <row r="27" spans="1:35" ht="146.25" customHeight="1">
      <c r="A27" s="121">
        <v>19</v>
      </c>
      <c r="B27" s="106" t="s">
        <v>123</v>
      </c>
      <c r="C27" s="102" t="s">
        <v>124</v>
      </c>
      <c r="D27" s="128">
        <v>1</v>
      </c>
      <c r="E27" s="123">
        <v>756.07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</row>
    <row r="28" spans="1:35" s="100" customFormat="1" ht="74.25" customHeight="1">
      <c r="A28" s="38">
        <v>20</v>
      </c>
      <c r="B28" s="115" t="s">
        <v>125</v>
      </c>
      <c r="C28" s="106" t="s">
        <v>126</v>
      </c>
      <c r="D28" s="46">
        <v>0</v>
      </c>
      <c r="E28" s="129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</row>
    <row r="29" spans="1:35" ht="63.75" customHeight="1">
      <c r="A29" s="121">
        <v>21</v>
      </c>
      <c r="B29" s="102" t="s">
        <v>127</v>
      </c>
      <c r="C29" s="106"/>
      <c r="D29" s="104" t="s">
        <v>128</v>
      </c>
      <c r="E29" s="123">
        <v>374808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</row>
    <row r="30" spans="1:35" ht="60.75" customHeight="1">
      <c r="A30" s="130">
        <v>22</v>
      </c>
      <c r="B30" s="102" t="s">
        <v>129</v>
      </c>
      <c r="C30" s="106"/>
      <c r="D30" s="104">
        <v>171</v>
      </c>
      <c r="E30" s="123">
        <v>699390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</row>
    <row r="31" spans="1:35" ht="74.25" customHeight="1">
      <c r="A31" s="121">
        <v>23</v>
      </c>
      <c r="B31" s="102" t="s">
        <v>130</v>
      </c>
      <c r="C31" s="106"/>
      <c r="D31" s="104">
        <v>7</v>
      </c>
      <c r="E31" s="123">
        <v>75000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</row>
    <row r="32" spans="1:35" ht="144" customHeight="1">
      <c r="A32" s="121">
        <v>24</v>
      </c>
      <c r="B32" s="102" t="s">
        <v>131</v>
      </c>
      <c r="C32" s="102" t="s">
        <v>132</v>
      </c>
      <c r="D32" s="131">
        <v>7</v>
      </c>
      <c r="E32" s="123">
        <v>7000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</row>
    <row r="33" spans="1:35" ht="57.75" customHeight="1">
      <c r="A33" s="121">
        <v>25</v>
      </c>
      <c r="B33" s="102" t="s">
        <v>133</v>
      </c>
      <c r="C33" s="106" t="s">
        <v>134</v>
      </c>
      <c r="D33" s="104">
        <v>497</v>
      </c>
      <c r="E33" s="123">
        <v>497000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1:35" ht="45" customHeight="1">
      <c r="A34" s="121">
        <v>26</v>
      </c>
      <c r="B34" s="106" t="s">
        <v>135</v>
      </c>
      <c r="C34" s="106"/>
      <c r="D34" s="128">
        <v>0</v>
      </c>
      <c r="E34" s="123"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1:35" ht="57" customHeight="1">
      <c r="A35" s="121">
        <v>27</v>
      </c>
      <c r="B35" s="102" t="s">
        <v>136</v>
      </c>
      <c r="C35" s="106" t="s">
        <v>137</v>
      </c>
      <c r="D35" s="132">
        <v>35</v>
      </c>
      <c r="E35" s="133">
        <v>68000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:35" ht="51">
      <c r="A36" s="121">
        <v>28</v>
      </c>
      <c r="B36" s="102" t="s">
        <v>138</v>
      </c>
      <c r="C36" s="106"/>
      <c r="D36" s="74">
        <v>0</v>
      </c>
      <c r="E36" s="133">
        <v>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1:35" ht="38.25">
      <c r="A37" s="121">
        <v>29</v>
      </c>
      <c r="B37" s="102" t="s">
        <v>139</v>
      </c>
      <c r="C37" s="106"/>
      <c r="D37" s="132">
        <v>244</v>
      </c>
      <c r="E37" s="133">
        <v>146400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5" ht="75.75" customHeight="1">
      <c r="A38" s="121">
        <v>30</v>
      </c>
      <c r="B38" s="102" t="s">
        <v>140</v>
      </c>
      <c r="C38" s="102" t="s">
        <v>141</v>
      </c>
      <c r="D38" s="132">
        <v>0</v>
      </c>
      <c r="E38" s="133"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  <row r="39" spans="1:35" ht="101.25" customHeight="1">
      <c r="A39" s="121">
        <v>31</v>
      </c>
      <c r="B39" s="102" t="s">
        <v>142</v>
      </c>
      <c r="C39" s="102" t="s">
        <v>143</v>
      </c>
      <c r="D39" s="132">
        <v>4</v>
      </c>
      <c r="E39" s="133">
        <v>72000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5" s="100" customFormat="1" ht="145.5" customHeight="1">
      <c r="A40" s="38">
        <v>32</v>
      </c>
      <c r="B40" s="115" t="s">
        <v>144</v>
      </c>
      <c r="C40" s="115" t="s">
        <v>145</v>
      </c>
      <c r="D40" s="74">
        <v>0</v>
      </c>
      <c r="E40" s="134">
        <v>440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</row>
    <row r="41" spans="1:35" s="86" customFormat="1" ht="63.75" customHeight="1">
      <c r="A41" s="135">
        <v>33</v>
      </c>
      <c r="B41" s="136" t="s">
        <v>146</v>
      </c>
      <c r="C41" s="137" t="s">
        <v>147</v>
      </c>
      <c r="D41" s="74">
        <v>10</v>
      </c>
      <c r="E41" s="134">
        <v>0</v>
      </c>
      <c r="F41" s="138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</row>
    <row r="42" spans="1:35" s="86" customFormat="1" ht="12.75">
      <c r="A42" s="135">
        <v>34</v>
      </c>
      <c r="B42" s="136" t="s">
        <v>148</v>
      </c>
      <c r="C42" s="137"/>
      <c r="D42" s="74">
        <v>19</v>
      </c>
      <c r="E42" s="134">
        <v>0</v>
      </c>
      <c r="F42" s="138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</row>
    <row r="43" spans="1:35" ht="81.75" customHeight="1">
      <c r="A43" s="121">
        <v>35</v>
      </c>
      <c r="B43" s="115" t="s">
        <v>149</v>
      </c>
      <c r="C43" s="115" t="s">
        <v>150</v>
      </c>
      <c r="D43" s="74">
        <v>2072</v>
      </c>
      <c r="E43" s="139">
        <v>67566403.58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</row>
    <row r="44" spans="1:35" ht="66.75" customHeight="1">
      <c r="A44" s="121">
        <v>36</v>
      </c>
      <c r="B44" s="102" t="s">
        <v>151</v>
      </c>
      <c r="C44" s="102" t="s">
        <v>152</v>
      </c>
      <c r="D44" s="140">
        <v>146</v>
      </c>
      <c r="E44" s="133">
        <v>1872993.5299999998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</row>
    <row r="45" spans="1:35" ht="45" customHeight="1">
      <c r="A45" s="121">
        <v>37</v>
      </c>
      <c r="B45" s="102" t="s">
        <v>153</v>
      </c>
      <c r="C45" s="103" t="s">
        <v>154</v>
      </c>
      <c r="D45" s="74">
        <v>31</v>
      </c>
      <c r="E45" s="133">
        <v>233868.34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</row>
    <row r="46" spans="1:35" ht="87.75" customHeight="1">
      <c r="A46" s="121">
        <v>38</v>
      </c>
      <c r="B46" s="115" t="s">
        <v>155</v>
      </c>
      <c r="C46" s="103"/>
      <c r="D46" s="132">
        <v>0</v>
      </c>
      <c r="E46" s="133"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</row>
    <row r="47" spans="1:35" ht="76.5" customHeight="1">
      <c r="A47" s="121">
        <v>39</v>
      </c>
      <c r="B47" s="115" t="s">
        <v>156</v>
      </c>
      <c r="C47" s="103"/>
      <c r="D47" s="74">
        <v>62</v>
      </c>
      <c r="E47" s="133">
        <v>1422162.23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</row>
    <row r="48" spans="1:35" ht="113.25" customHeight="1">
      <c r="A48" s="121">
        <v>40</v>
      </c>
      <c r="B48" s="115" t="s">
        <v>157</v>
      </c>
      <c r="C48" s="103"/>
      <c r="D48" s="74">
        <v>885</v>
      </c>
      <c r="E48" s="133">
        <v>48053704.650000006</v>
      </c>
      <c r="F48" s="88"/>
      <c r="G48" s="133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</row>
    <row r="49" spans="1:35" s="100" customFormat="1" ht="99.75" customHeight="1">
      <c r="A49" s="38">
        <v>41</v>
      </c>
      <c r="B49" s="141" t="s">
        <v>158</v>
      </c>
      <c r="C49" s="103"/>
      <c r="D49" s="74">
        <v>2</v>
      </c>
      <c r="E49" s="134">
        <v>31601.64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</row>
    <row r="50" spans="1:35" s="100" customFormat="1" ht="52.5" customHeight="1">
      <c r="A50" s="101"/>
      <c r="B50" s="115" t="s">
        <v>159</v>
      </c>
      <c r="C50" s="103"/>
      <c r="D50" s="74">
        <v>2</v>
      </c>
      <c r="E50" s="134">
        <f>SUM(E51:E52)</f>
        <v>193775.69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</row>
    <row r="51" spans="1:35" ht="38.25">
      <c r="A51" s="121">
        <v>42</v>
      </c>
      <c r="B51" s="102" t="s">
        <v>160</v>
      </c>
      <c r="C51" s="103"/>
      <c r="D51" s="74">
        <v>0</v>
      </c>
      <c r="E51" s="133"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</row>
    <row r="52" spans="1:35" ht="38.25">
      <c r="A52" s="80">
        <v>43</v>
      </c>
      <c r="B52" s="102" t="s">
        <v>161</v>
      </c>
      <c r="C52" s="103"/>
      <c r="D52" s="74">
        <v>2</v>
      </c>
      <c r="E52" s="133">
        <v>193775.69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</row>
    <row r="53" spans="1:35" s="100" customFormat="1" ht="12.75">
      <c r="A53" s="142">
        <v>44</v>
      </c>
      <c r="B53" s="118" t="s">
        <v>162</v>
      </c>
      <c r="C53" s="103"/>
      <c r="D53" s="74">
        <v>0</v>
      </c>
      <c r="E53" s="134">
        <v>0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</row>
    <row r="54" spans="1:35" ht="12.75">
      <c r="A54" s="80">
        <v>45</v>
      </c>
      <c r="B54" s="109" t="s">
        <v>163</v>
      </c>
      <c r="C54" s="143" t="s">
        <v>164</v>
      </c>
      <c r="D54" s="74">
        <v>1</v>
      </c>
      <c r="E54" s="134">
        <v>420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35" ht="38.25" customHeight="1">
      <c r="A55" s="144"/>
      <c r="B55" s="102" t="s">
        <v>165</v>
      </c>
      <c r="C55" s="103" t="s">
        <v>166</v>
      </c>
      <c r="D55" s="132">
        <f>SUM(D56:D57)</f>
        <v>0</v>
      </c>
      <c r="E55" s="133">
        <f>SUM(E56:E57)</f>
        <v>0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</row>
    <row r="56" spans="1:35" ht="51">
      <c r="A56" s="80">
        <v>46</v>
      </c>
      <c r="B56" s="102" t="s">
        <v>167</v>
      </c>
      <c r="C56" s="103"/>
      <c r="D56" s="132">
        <v>0</v>
      </c>
      <c r="E56" s="133">
        <v>0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</row>
    <row r="57" spans="1:35" ht="51">
      <c r="A57" s="80">
        <v>47</v>
      </c>
      <c r="B57" s="116" t="s">
        <v>168</v>
      </c>
      <c r="C57" s="103"/>
      <c r="D57" s="132">
        <v>0</v>
      </c>
      <c r="E57" s="133"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ht="49.5" customHeight="1">
      <c r="A58" s="80">
        <v>48</v>
      </c>
      <c r="B58" s="116" t="s">
        <v>169</v>
      </c>
      <c r="C58" s="102" t="s">
        <v>170</v>
      </c>
      <c r="D58" s="132">
        <v>0</v>
      </c>
      <c r="E58" s="133">
        <v>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</row>
    <row r="59" spans="1:35" ht="127.5">
      <c r="A59" s="80">
        <v>49</v>
      </c>
      <c r="B59" s="102" t="s">
        <v>171</v>
      </c>
      <c r="C59" s="102" t="s">
        <v>172</v>
      </c>
      <c r="D59" s="132" t="s">
        <v>173</v>
      </c>
      <c r="E59" s="133">
        <v>6786573.3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</row>
    <row r="60" spans="1:35" ht="126" customHeight="1">
      <c r="A60" s="80">
        <v>50</v>
      </c>
      <c r="B60" s="102" t="s">
        <v>174</v>
      </c>
      <c r="C60" s="145" t="s">
        <v>175</v>
      </c>
      <c r="D60" s="74">
        <v>32</v>
      </c>
      <c r="E60" s="134">
        <v>356663.37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</row>
    <row r="61" spans="1:35" ht="63.75">
      <c r="A61" s="80">
        <v>51</v>
      </c>
      <c r="B61" s="102" t="s">
        <v>176</v>
      </c>
      <c r="C61" s="145"/>
      <c r="D61" s="132">
        <v>0</v>
      </c>
      <c r="E61" s="133">
        <v>0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</row>
    <row r="62" spans="1:35" s="100" customFormat="1" ht="63.75" customHeight="1">
      <c r="A62" s="142">
        <v>52</v>
      </c>
      <c r="B62" s="115" t="s">
        <v>177</v>
      </c>
      <c r="C62" s="145"/>
      <c r="D62" s="74">
        <v>27</v>
      </c>
      <c r="E62" s="134">
        <v>13467.54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</row>
    <row r="63" spans="1:35" s="100" customFormat="1" ht="12.75">
      <c r="A63" s="142">
        <v>53</v>
      </c>
      <c r="B63" s="115" t="s">
        <v>178</v>
      </c>
      <c r="C63" s="145"/>
      <c r="D63" s="74">
        <v>10</v>
      </c>
      <c r="E63" s="134">
        <v>243713.11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</row>
    <row r="64" spans="1:35" ht="12.75">
      <c r="A64" s="146">
        <v>54</v>
      </c>
      <c r="B64" s="109" t="s">
        <v>179</v>
      </c>
      <c r="C64" s="116" t="s">
        <v>180</v>
      </c>
      <c r="D64" s="132">
        <v>0</v>
      </c>
      <c r="E64" s="133">
        <v>0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</row>
    <row r="65" spans="1:35" ht="126.75" customHeight="1">
      <c r="A65" s="146">
        <v>55</v>
      </c>
      <c r="B65" s="141" t="s">
        <v>181</v>
      </c>
      <c r="C65" s="147" t="s">
        <v>182</v>
      </c>
      <c r="D65" s="132">
        <v>0</v>
      </c>
      <c r="E65" s="133">
        <v>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</row>
    <row r="66" spans="1:35" s="100" customFormat="1" ht="12.75">
      <c r="A66" s="148">
        <v>56</v>
      </c>
      <c r="B66" s="141" t="s">
        <v>183</v>
      </c>
      <c r="C66" s="147" t="s">
        <v>184</v>
      </c>
      <c r="D66" s="74">
        <v>116</v>
      </c>
      <c r="E66" s="134">
        <v>0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</row>
    <row r="67" spans="1:35" ht="12.75">
      <c r="A67" s="146">
        <v>57</v>
      </c>
      <c r="B67" s="141" t="s">
        <v>185</v>
      </c>
      <c r="C67" s="118" t="s">
        <v>186</v>
      </c>
      <c r="D67" s="132">
        <v>0</v>
      </c>
      <c r="E67" s="133">
        <v>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</row>
    <row r="68" spans="1:35" ht="140.25">
      <c r="A68" s="146">
        <v>58</v>
      </c>
      <c r="B68" s="102" t="s">
        <v>187</v>
      </c>
      <c r="C68" s="102" t="s">
        <v>188</v>
      </c>
      <c r="D68" s="132">
        <v>0</v>
      </c>
      <c r="E68" s="133">
        <v>0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</row>
    <row r="69" spans="1:35" ht="114.75">
      <c r="A69" s="149">
        <v>59</v>
      </c>
      <c r="B69" s="102" t="s">
        <v>189</v>
      </c>
      <c r="C69" s="102" t="s">
        <v>190</v>
      </c>
      <c r="D69" s="150">
        <v>497</v>
      </c>
      <c r="E69" s="151">
        <v>74341472.72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</row>
    <row r="70" spans="1:33" s="100" customFormat="1" ht="63.75" customHeight="1">
      <c r="A70" s="152">
        <v>60</v>
      </c>
      <c r="B70" s="115" t="s">
        <v>191</v>
      </c>
      <c r="C70" s="115" t="s">
        <v>192</v>
      </c>
      <c r="D70" s="150">
        <v>76</v>
      </c>
      <c r="E70" s="108">
        <v>0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</row>
    <row r="71" spans="1:33" ht="12.75">
      <c r="A71" s="149">
        <v>61</v>
      </c>
      <c r="B71" s="102" t="s">
        <v>193</v>
      </c>
      <c r="C71" s="102" t="s">
        <v>194</v>
      </c>
      <c r="D71" s="150">
        <v>338</v>
      </c>
      <c r="E71" s="151">
        <v>17308512.38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1:33" s="100" customFormat="1" ht="12.75">
      <c r="A72" s="152">
        <v>62</v>
      </c>
      <c r="B72" s="141" t="s">
        <v>195</v>
      </c>
      <c r="C72" s="115" t="s">
        <v>196</v>
      </c>
      <c r="D72" s="153">
        <v>11</v>
      </c>
      <c r="E72" s="154">
        <v>930380.13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</row>
    <row r="73" spans="1:35" s="86" customFormat="1" ht="140.25" customHeight="1">
      <c r="A73" s="155">
        <v>63</v>
      </c>
      <c r="B73" s="156" t="s">
        <v>197</v>
      </c>
      <c r="C73" s="157" t="s">
        <v>198</v>
      </c>
      <c r="D73" s="132">
        <v>11</v>
      </c>
      <c r="E73" s="133">
        <v>20860.9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</row>
    <row r="74" spans="1:35" ht="12.75">
      <c r="A74"/>
      <c r="B74"/>
      <c r="C74"/>
      <c r="D74"/>
      <c r="E74"/>
      <c r="F74"/>
      <c r="G74"/>
      <c r="H74"/>
      <c r="I74"/>
      <c r="J7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</row>
    <row r="75" spans="1:35" ht="12.75">
      <c r="A75" s="88"/>
      <c r="B75" s="88"/>
      <c r="C75" s="88"/>
      <c r="D75" s="91"/>
      <c r="E75" s="91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</row>
    <row r="76" spans="1:35" ht="12.75">
      <c r="A76" s="88"/>
      <c r="B76" s="88"/>
      <c r="C76" s="88"/>
      <c r="D76" s="91"/>
      <c r="E76" s="91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</row>
    <row r="77" spans="1:35" ht="12.75">
      <c r="A77" s="88"/>
      <c r="B77" s="88"/>
      <c r="C77" s="88"/>
      <c r="D77" s="91"/>
      <c r="E77" s="91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ht="12.75">
      <c r="A78" s="88"/>
      <c r="B78" s="88"/>
      <c r="C78" s="88"/>
      <c r="D78" s="91"/>
      <c r="E78" s="91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</row>
    <row r="79" spans="1:35" ht="12.75">
      <c r="A79" s="88"/>
      <c r="B79" s="88"/>
      <c r="C79" s="88"/>
      <c r="D79" s="91"/>
      <c r="E79" s="91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</row>
    <row r="80" spans="1:35" ht="12.75">
      <c r="A80" s="88"/>
      <c r="B80" s="88"/>
      <c r="C80" s="88"/>
      <c r="D80" s="91"/>
      <c r="E80" s="91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</row>
  </sheetData>
  <sheetProtection selectLockedCells="1" selectUnlockedCells="1"/>
  <mergeCells count="13">
    <mergeCell ref="A1:E1"/>
    <mergeCell ref="A2:E2"/>
    <mergeCell ref="B3:E3"/>
    <mergeCell ref="C7:C9"/>
    <mergeCell ref="C10:C19"/>
    <mergeCell ref="C23:C25"/>
    <mergeCell ref="C28:C31"/>
    <mergeCell ref="C33:C34"/>
    <mergeCell ref="C35:C37"/>
    <mergeCell ref="C41:C42"/>
    <mergeCell ref="C45:C53"/>
    <mergeCell ref="C55:C57"/>
    <mergeCell ref="C60:C63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Q92"/>
  <sheetViews>
    <sheetView zoomScale="76" zoomScaleNormal="76" workbookViewId="0" topLeftCell="A13">
      <selection activeCell="P43" activeCellId="1" sqref="A74:J74 P43"/>
    </sheetView>
  </sheetViews>
  <sheetFormatPr defaultColWidth="9.00390625" defaultRowHeight="12.75"/>
  <cols>
    <col min="1" max="1" width="6.625" style="0" customWidth="1"/>
    <col min="2" max="2" width="45.375" style="0" customWidth="1"/>
    <col min="3" max="3" width="12.375" style="0" customWidth="1"/>
    <col min="4" max="4" width="16.375" style="17" customWidth="1"/>
    <col min="5" max="6" width="15.50390625" style="17" customWidth="1"/>
    <col min="7" max="7" width="19.375" style="0" customWidth="1"/>
    <col min="8" max="8" width="15.625" style="0" customWidth="1"/>
    <col min="9" max="9" width="13.00390625" style="0" customWidth="1"/>
    <col min="10" max="10" width="14.50390625" style="0" customWidth="1"/>
    <col min="11" max="11" width="12.625" style="0" customWidth="1"/>
    <col min="12" max="12" width="12.375" style="0" customWidth="1"/>
    <col min="13" max="13" width="12.50390625" style="0" customWidth="1"/>
    <col min="14" max="14" width="10.625" style="0" customWidth="1"/>
    <col min="15" max="15" width="10.50390625" style="0" customWidth="1"/>
    <col min="16" max="16" width="12.50390625" style="0" customWidth="1"/>
    <col min="17" max="17" width="15.375" style="0" customWidth="1"/>
  </cols>
  <sheetData>
    <row r="1" spans="1:4" ht="12.75">
      <c r="A1" s="18" t="s">
        <v>199</v>
      </c>
      <c r="B1" s="18"/>
      <c r="C1" s="18"/>
      <c r="D1" s="18"/>
    </row>
    <row r="2" spans="1:5" ht="12.75">
      <c r="A2" s="87" t="s">
        <v>24</v>
      </c>
      <c r="B2" s="87"/>
      <c r="C2" s="87"/>
      <c r="D2" s="87"/>
      <c r="E2" s="87"/>
    </row>
    <row r="3" spans="1:6" ht="19.5" customHeight="1">
      <c r="A3" s="158" t="s">
        <v>25</v>
      </c>
      <c r="B3" s="158"/>
      <c r="C3" s="158"/>
      <c r="D3" s="158"/>
      <c r="E3" s="158"/>
      <c r="F3" s="158"/>
    </row>
    <row r="4" spans="1:17" ht="19.5" customHeight="1">
      <c r="A4" s="17"/>
      <c r="B4" s="17"/>
      <c r="C4" s="17"/>
      <c r="G4" s="159"/>
      <c r="H4" s="159"/>
      <c r="I4" s="159"/>
      <c r="J4" s="159"/>
      <c r="K4" s="159"/>
      <c r="L4" s="159"/>
      <c r="M4" s="160"/>
      <c r="N4" s="159"/>
      <c r="O4" s="160"/>
      <c r="P4" s="159"/>
      <c r="Q4" s="159"/>
    </row>
    <row r="5" spans="1:17" ht="12.75">
      <c r="A5" s="161" t="s">
        <v>200</v>
      </c>
      <c r="B5" s="161" t="s">
        <v>201</v>
      </c>
      <c r="C5" s="162" t="s">
        <v>202</v>
      </c>
      <c r="D5" s="162" t="s">
        <v>203</v>
      </c>
      <c r="E5" s="162" t="s">
        <v>204</v>
      </c>
      <c r="F5" s="162" t="s">
        <v>205</v>
      </c>
      <c r="G5" s="75" t="s">
        <v>206</v>
      </c>
      <c r="H5" s="163" t="s">
        <v>207</v>
      </c>
      <c r="I5" s="163" t="s">
        <v>208</v>
      </c>
      <c r="J5" s="163" t="s">
        <v>209</v>
      </c>
      <c r="K5" s="163" t="s">
        <v>210</v>
      </c>
      <c r="L5" s="164" t="s">
        <v>211</v>
      </c>
      <c r="M5" s="165" t="s">
        <v>212</v>
      </c>
      <c r="N5" s="166" t="s">
        <v>213</v>
      </c>
      <c r="O5" s="167" t="s">
        <v>214</v>
      </c>
      <c r="P5" s="168" t="s">
        <v>215</v>
      </c>
      <c r="Q5" s="168" t="s">
        <v>216</v>
      </c>
    </row>
    <row r="6" spans="1:17" ht="12.75">
      <c r="A6" s="169"/>
      <c r="B6" s="169" t="s">
        <v>217</v>
      </c>
      <c r="C6" s="169"/>
      <c r="D6" s="169"/>
      <c r="E6" s="169"/>
      <c r="F6" s="169"/>
      <c r="G6" s="159"/>
      <c r="H6" s="159"/>
      <c r="I6" s="159"/>
      <c r="J6" s="159"/>
      <c r="K6" s="159"/>
      <c r="L6" s="160"/>
      <c r="M6" s="160"/>
      <c r="N6" s="160"/>
      <c r="O6" s="160"/>
      <c r="P6" s="159"/>
      <c r="Q6" s="159"/>
    </row>
    <row r="7" spans="1:17" ht="12.75">
      <c r="A7" s="80"/>
      <c r="B7" s="146" t="s">
        <v>218</v>
      </c>
      <c r="C7" s="80" t="s">
        <v>219</v>
      </c>
      <c r="D7" s="170">
        <v>22</v>
      </c>
      <c r="E7" s="170">
        <v>33</v>
      </c>
      <c r="F7" s="170">
        <v>36</v>
      </c>
      <c r="G7" s="170">
        <v>36</v>
      </c>
      <c r="H7" s="170">
        <v>36</v>
      </c>
      <c r="I7" s="170">
        <v>36</v>
      </c>
      <c r="J7" s="170">
        <v>35</v>
      </c>
      <c r="K7" s="171">
        <v>36</v>
      </c>
      <c r="L7" s="172">
        <v>36</v>
      </c>
      <c r="M7" s="172">
        <v>36</v>
      </c>
      <c r="N7" s="172">
        <v>36</v>
      </c>
      <c r="O7" s="172">
        <v>35</v>
      </c>
      <c r="P7" s="159">
        <v>36</v>
      </c>
      <c r="Q7" s="159">
        <v>36</v>
      </c>
    </row>
    <row r="8" spans="1:17" ht="12.75">
      <c r="A8" s="80"/>
      <c r="B8" s="173" t="s">
        <v>220</v>
      </c>
      <c r="C8" s="80" t="s">
        <v>219</v>
      </c>
      <c r="D8" s="174">
        <v>5</v>
      </c>
      <c r="E8" s="174">
        <v>5</v>
      </c>
      <c r="F8" s="174">
        <v>6</v>
      </c>
      <c r="G8" s="170">
        <v>6</v>
      </c>
      <c r="H8" s="170">
        <v>6</v>
      </c>
      <c r="I8" s="170">
        <v>6</v>
      </c>
      <c r="J8" s="170">
        <v>6</v>
      </c>
      <c r="K8" s="171">
        <v>6</v>
      </c>
      <c r="L8" s="172">
        <v>5</v>
      </c>
      <c r="M8" s="172">
        <v>5</v>
      </c>
      <c r="N8" s="172">
        <v>5</v>
      </c>
      <c r="O8" s="172">
        <v>5</v>
      </c>
      <c r="P8" s="159">
        <v>5</v>
      </c>
      <c r="Q8" s="159">
        <v>5</v>
      </c>
    </row>
    <row r="9" spans="1:17" ht="12.75">
      <c r="A9" s="80"/>
      <c r="B9" s="146" t="s">
        <v>221</v>
      </c>
      <c r="C9" s="80" t="s">
        <v>219</v>
      </c>
      <c r="D9" s="175">
        <v>1</v>
      </c>
      <c r="E9" s="175">
        <v>1</v>
      </c>
      <c r="F9" s="175">
        <v>1</v>
      </c>
      <c r="G9" s="170">
        <v>1</v>
      </c>
      <c r="H9" s="170">
        <v>1</v>
      </c>
      <c r="I9" s="170">
        <v>1</v>
      </c>
      <c r="J9" s="170">
        <v>1</v>
      </c>
      <c r="K9" s="171">
        <v>1</v>
      </c>
      <c r="L9" s="172">
        <v>1</v>
      </c>
      <c r="M9" s="172">
        <v>1</v>
      </c>
      <c r="N9" s="172">
        <v>1</v>
      </c>
      <c r="O9" s="172">
        <v>1</v>
      </c>
      <c r="P9" s="159">
        <v>1</v>
      </c>
      <c r="Q9" s="159">
        <v>1</v>
      </c>
    </row>
    <row r="10" spans="1:17" ht="12.75">
      <c r="A10" s="80"/>
      <c r="B10" s="146" t="s">
        <v>222</v>
      </c>
      <c r="C10" s="80" t="s">
        <v>219</v>
      </c>
      <c r="D10" s="175">
        <v>1</v>
      </c>
      <c r="E10" s="175">
        <v>1</v>
      </c>
      <c r="F10" s="175">
        <v>2</v>
      </c>
      <c r="G10" s="170">
        <v>2</v>
      </c>
      <c r="H10" s="170">
        <v>2</v>
      </c>
      <c r="I10" s="170">
        <v>2</v>
      </c>
      <c r="J10" s="170">
        <v>2</v>
      </c>
      <c r="K10" s="171">
        <v>2</v>
      </c>
      <c r="L10" s="172">
        <v>1</v>
      </c>
      <c r="M10" s="172">
        <v>1</v>
      </c>
      <c r="N10" s="172">
        <v>1</v>
      </c>
      <c r="O10" s="172">
        <v>1</v>
      </c>
      <c r="P10" s="159">
        <v>1</v>
      </c>
      <c r="Q10" s="159">
        <v>1</v>
      </c>
    </row>
    <row r="11" spans="1:17" ht="12.75">
      <c r="A11" s="80"/>
      <c r="B11" s="146" t="s">
        <v>223</v>
      </c>
      <c r="C11" s="80" t="s">
        <v>219</v>
      </c>
      <c r="D11" s="175">
        <v>1</v>
      </c>
      <c r="E11" s="175">
        <v>1</v>
      </c>
      <c r="F11" s="175">
        <v>1</v>
      </c>
      <c r="G11" s="170">
        <v>1</v>
      </c>
      <c r="H11" s="170">
        <v>1</v>
      </c>
      <c r="I11" s="170">
        <v>1</v>
      </c>
      <c r="J11" s="170">
        <v>1</v>
      </c>
      <c r="K11" s="171">
        <v>1</v>
      </c>
      <c r="L11" s="172">
        <v>1</v>
      </c>
      <c r="M11" s="172">
        <v>1</v>
      </c>
      <c r="N11" s="172">
        <v>1</v>
      </c>
      <c r="O11" s="172">
        <v>1</v>
      </c>
      <c r="P11" s="159">
        <v>1</v>
      </c>
      <c r="Q11" s="159">
        <v>1</v>
      </c>
    </row>
    <row r="12" spans="1:17" ht="12.75">
      <c r="A12" s="80"/>
      <c r="B12" s="146" t="s">
        <v>224</v>
      </c>
      <c r="C12" s="80" t="s">
        <v>219</v>
      </c>
      <c r="D12" s="175">
        <v>2</v>
      </c>
      <c r="E12" s="175">
        <v>2</v>
      </c>
      <c r="F12" s="175">
        <v>2</v>
      </c>
      <c r="G12" s="170">
        <v>2</v>
      </c>
      <c r="H12" s="170">
        <v>2</v>
      </c>
      <c r="I12" s="170">
        <v>2</v>
      </c>
      <c r="J12" s="170">
        <v>2</v>
      </c>
      <c r="K12" s="171">
        <v>2</v>
      </c>
      <c r="L12" s="172">
        <v>2</v>
      </c>
      <c r="M12" s="172">
        <v>2</v>
      </c>
      <c r="N12" s="172">
        <v>2</v>
      </c>
      <c r="O12" s="172">
        <v>2</v>
      </c>
      <c r="P12" s="159">
        <v>2</v>
      </c>
      <c r="Q12" s="159">
        <v>2</v>
      </c>
    </row>
    <row r="13" spans="1:17" ht="12.75">
      <c r="A13" s="80"/>
      <c r="B13" s="69" t="s">
        <v>225</v>
      </c>
      <c r="C13" s="80" t="s">
        <v>219</v>
      </c>
      <c r="D13" s="175">
        <v>12</v>
      </c>
      <c r="E13" s="175">
        <v>21</v>
      </c>
      <c r="F13" s="175">
        <v>21</v>
      </c>
      <c r="G13" s="170">
        <v>21</v>
      </c>
      <c r="H13" s="170">
        <v>22</v>
      </c>
      <c r="I13" s="170">
        <v>22</v>
      </c>
      <c r="J13" s="170">
        <v>21</v>
      </c>
      <c r="K13" s="171">
        <v>22</v>
      </c>
      <c r="L13" s="172">
        <v>22</v>
      </c>
      <c r="M13" s="172">
        <v>22</v>
      </c>
      <c r="N13" s="172">
        <v>22</v>
      </c>
      <c r="O13" s="172">
        <v>22</v>
      </c>
      <c r="P13" s="159">
        <v>22</v>
      </c>
      <c r="Q13" s="159">
        <v>22</v>
      </c>
    </row>
    <row r="14" spans="1:17" ht="12.75">
      <c r="A14" s="80"/>
      <c r="B14" s="173" t="s">
        <v>226</v>
      </c>
      <c r="C14" s="80" t="s">
        <v>219</v>
      </c>
      <c r="D14" s="175">
        <v>1</v>
      </c>
      <c r="E14" s="175">
        <v>2</v>
      </c>
      <c r="F14" s="175">
        <v>4</v>
      </c>
      <c r="G14" s="170">
        <v>4</v>
      </c>
      <c r="H14" s="170">
        <v>3</v>
      </c>
      <c r="I14" s="170">
        <v>3</v>
      </c>
      <c r="J14" s="170">
        <v>3</v>
      </c>
      <c r="K14" s="171">
        <v>3</v>
      </c>
      <c r="L14" s="172">
        <v>3</v>
      </c>
      <c r="M14" s="172">
        <v>3</v>
      </c>
      <c r="N14" s="172">
        <v>3</v>
      </c>
      <c r="O14" s="172">
        <v>3</v>
      </c>
      <c r="P14" s="159">
        <v>3</v>
      </c>
      <c r="Q14" s="159">
        <v>3</v>
      </c>
    </row>
    <row r="15" spans="1:17" ht="12.75">
      <c r="A15" s="80"/>
      <c r="B15" s="176" t="s">
        <v>227</v>
      </c>
      <c r="C15" s="142" t="s">
        <v>219</v>
      </c>
      <c r="D15" s="174" t="s">
        <v>64</v>
      </c>
      <c r="E15" s="174" t="s">
        <v>64</v>
      </c>
      <c r="F15" s="174" t="s">
        <v>64</v>
      </c>
      <c r="G15" s="174" t="s">
        <v>64</v>
      </c>
      <c r="H15" s="174" t="s">
        <v>64</v>
      </c>
      <c r="I15" s="174" t="s">
        <v>64</v>
      </c>
      <c r="J15" s="174" t="s">
        <v>64</v>
      </c>
      <c r="K15" s="174" t="s">
        <v>64</v>
      </c>
      <c r="L15" s="172">
        <v>1</v>
      </c>
      <c r="M15" s="172">
        <v>1</v>
      </c>
      <c r="N15" s="172">
        <v>1</v>
      </c>
      <c r="O15" s="172"/>
      <c r="P15" s="159">
        <v>1</v>
      </c>
      <c r="Q15" s="159">
        <v>1</v>
      </c>
    </row>
    <row r="16" spans="1:17" ht="12.75">
      <c r="A16" s="80"/>
      <c r="B16" s="176" t="s">
        <v>228</v>
      </c>
      <c r="C16" s="142" t="s">
        <v>219</v>
      </c>
      <c r="D16" s="175">
        <v>4</v>
      </c>
      <c r="E16" s="175">
        <v>5</v>
      </c>
      <c r="F16" s="175">
        <v>5</v>
      </c>
      <c r="G16" s="170">
        <v>5</v>
      </c>
      <c r="H16" s="170">
        <v>5</v>
      </c>
      <c r="I16" s="170">
        <v>5</v>
      </c>
      <c r="J16" s="170">
        <v>5</v>
      </c>
      <c r="K16" s="171">
        <v>5</v>
      </c>
      <c r="L16" s="172">
        <v>5</v>
      </c>
      <c r="M16" s="172">
        <v>5</v>
      </c>
      <c r="N16" s="172">
        <v>5</v>
      </c>
      <c r="O16" s="172">
        <v>5</v>
      </c>
      <c r="P16" s="159">
        <v>5</v>
      </c>
      <c r="Q16" s="159">
        <v>5</v>
      </c>
    </row>
    <row r="17" spans="1:17" ht="12.75">
      <c r="A17" s="169"/>
      <c r="B17" s="169" t="s">
        <v>229</v>
      </c>
      <c r="C17" s="169"/>
      <c r="D17" s="177"/>
      <c r="E17" s="177"/>
      <c r="F17" s="177"/>
      <c r="G17" s="170"/>
      <c r="H17" s="170"/>
      <c r="I17" s="171"/>
      <c r="J17" s="170"/>
      <c r="K17" s="171"/>
      <c r="L17" s="172"/>
      <c r="M17" s="172"/>
      <c r="N17" s="172"/>
      <c r="O17" s="172"/>
      <c r="P17" s="159"/>
      <c r="Q17" s="159"/>
    </row>
    <row r="18" spans="1:17" ht="12.75">
      <c r="A18" s="80"/>
      <c r="B18" s="146" t="s">
        <v>218</v>
      </c>
      <c r="C18" s="80" t="s">
        <v>230</v>
      </c>
      <c r="D18" s="170">
        <v>24</v>
      </c>
      <c r="E18" s="170">
        <v>33</v>
      </c>
      <c r="F18" s="170">
        <v>35</v>
      </c>
      <c r="G18" s="170">
        <v>35</v>
      </c>
      <c r="H18" s="170">
        <v>35</v>
      </c>
      <c r="I18" s="170">
        <v>35</v>
      </c>
      <c r="J18" s="170">
        <v>35</v>
      </c>
      <c r="K18" s="171">
        <v>35</v>
      </c>
      <c r="L18" s="172">
        <v>35</v>
      </c>
      <c r="M18" s="172">
        <v>35</v>
      </c>
      <c r="N18" s="172">
        <v>35</v>
      </c>
      <c r="O18" s="172">
        <v>35</v>
      </c>
      <c r="P18" s="159">
        <v>35</v>
      </c>
      <c r="Q18" s="159">
        <v>35</v>
      </c>
    </row>
    <row r="19" spans="1:17" ht="12.75">
      <c r="A19" s="80"/>
      <c r="B19" s="173" t="s">
        <v>220</v>
      </c>
      <c r="C19" s="80" t="s">
        <v>230</v>
      </c>
      <c r="D19" s="170">
        <v>5</v>
      </c>
      <c r="E19" s="170">
        <v>6</v>
      </c>
      <c r="F19" s="170">
        <v>6</v>
      </c>
      <c r="G19" s="170">
        <v>6</v>
      </c>
      <c r="H19" s="170">
        <v>6</v>
      </c>
      <c r="I19" s="170">
        <v>6</v>
      </c>
      <c r="J19" s="170">
        <v>6</v>
      </c>
      <c r="K19" s="171">
        <v>6</v>
      </c>
      <c r="L19" s="172">
        <v>5</v>
      </c>
      <c r="M19" s="172">
        <v>5</v>
      </c>
      <c r="N19" s="172">
        <v>5</v>
      </c>
      <c r="O19" s="172">
        <v>5</v>
      </c>
      <c r="P19" s="159">
        <v>5</v>
      </c>
      <c r="Q19" s="159">
        <v>5</v>
      </c>
    </row>
    <row r="20" spans="1:17" ht="12.75">
      <c r="A20" s="80"/>
      <c r="B20" s="146" t="s">
        <v>221</v>
      </c>
      <c r="C20" s="80" t="s">
        <v>230</v>
      </c>
      <c r="D20" s="175">
        <v>1</v>
      </c>
      <c r="E20" s="175">
        <v>1</v>
      </c>
      <c r="F20" s="175">
        <v>1</v>
      </c>
      <c r="G20" s="170">
        <v>1</v>
      </c>
      <c r="H20" s="170">
        <v>1</v>
      </c>
      <c r="I20" s="170">
        <v>1</v>
      </c>
      <c r="J20" s="170">
        <v>1</v>
      </c>
      <c r="K20" s="171">
        <v>1</v>
      </c>
      <c r="L20" s="172">
        <v>1</v>
      </c>
      <c r="M20" s="172">
        <v>1</v>
      </c>
      <c r="N20" s="172">
        <v>1</v>
      </c>
      <c r="O20" s="172">
        <v>1</v>
      </c>
      <c r="P20" s="159">
        <v>1</v>
      </c>
      <c r="Q20" s="159">
        <v>1</v>
      </c>
    </row>
    <row r="21" spans="1:17" ht="12.75">
      <c r="A21" s="80"/>
      <c r="B21" s="146" t="s">
        <v>222</v>
      </c>
      <c r="C21" s="80" t="s">
        <v>230</v>
      </c>
      <c r="D21" s="175">
        <v>1</v>
      </c>
      <c r="E21" s="175">
        <v>2</v>
      </c>
      <c r="F21" s="175">
        <v>2</v>
      </c>
      <c r="G21" s="170">
        <v>2</v>
      </c>
      <c r="H21" s="170">
        <v>2</v>
      </c>
      <c r="I21" s="170">
        <v>2</v>
      </c>
      <c r="J21" s="170">
        <v>2</v>
      </c>
      <c r="K21" s="171">
        <v>2</v>
      </c>
      <c r="L21" s="172">
        <v>1</v>
      </c>
      <c r="M21" s="172">
        <v>1</v>
      </c>
      <c r="N21" s="172">
        <v>1</v>
      </c>
      <c r="O21" s="172">
        <v>1</v>
      </c>
      <c r="P21" s="159">
        <v>1</v>
      </c>
      <c r="Q21" s="159">
        <v>1</v>
      </c>
    </row>
    <row r="22" spans="1:17" ht="12.75">
      <c r="A22" s="80"/>
      <c r="B22" s="146" t="s">
        <v>223</v>
      </c>
      <c r="C22" s="80" t="s">
        <v>230</v>
      </c>
      <c r="D22" s="175">
        <v>1</v>
      </c>
      <c r="E22" s="175">
        <v>1</v>
      </c>
      <c r="F22" s="175">
        <v>1</v>
      </c>
      <c r="G22" s="170">
        <v>1</v>
      </c>
      <c r="H22" s="170">
        <v>1</v>
      </c>
      <c r="I22" s="170">
        <v>1</v>
      </c>
      <c r="J22" s="170">
        <v>1</v>
      </c>
      <c r="K22" s="171">
        <v>1</v>
      </c>
      <c r="L22" s="172">
        <v>1</v>
      </c>
      <c r="M22" s="172">
        <v>1</v>
      </c>
      <c r="N22" s="172">
        <v>1</v>
      </c>
      <c r="O22" s="172">
        <v>1</v>
      </c>
      <c r="P22" s="159">
        <v>1</v>
      </c>
      <c r="Q22" s="159">
        <v>1</v>
      </c>
    </row>
    <row r="23" spans="1:17" ht="12.75">
      <c r="A23" s="80"/>
      <c r="B23" s="146" t="s">
        <v>231</v>
      </c>
      <c r="C23" s="80" t="s">
        <v>230</v>
      </c>
      <c r="D23" s="175">
        <v>2</v>
      </c>
      <c r="E23" s="175">
        <v>2</v>
      </c>
      <c r="F23" s="175">
        <v>2</v>
      </c>
      <c r="G23" s="170">
        <v>2</v>
      </c>
      <c r="H23" s="170">
        <v>2</v>
      </c>
      <c r="I23" s="170">
        <v>2</v>
      </c>
      <c r="J23" s="170">
        <v>2</v>
      </c>
      <c r="K23" s="171">
        <v>2</v>
      </c>
      <c r="L23" s="172">
        <v>2</v>
      </c>
      <c r="M23" s="172">
        <v>2</v>
      </c>
      <c r="N23" s="172">
        <v>2</v>
      </c>
      <c r="O23" s="172">
        <v>2</v>
      </c>
      <c r="P23" s="159">
        <v>2</v>
      </c>
      <c r="Q23" s="159">
        <v>2</v>
      </c>
    </row>
    <row r="24" spans="1:17" ht="12.75">
      <c r="A24" s="80"/>
      <c r="B24" s="69" t="s">
        <v>225</v>
      </c>
      <c r="C24" s="142" t="s">
        <v>230</v>
      </c>
      <c r="D24" s="174">
        <v>12</v>
      </c>
      <c r="E24" s="174">
        <v>20</v>
      </c>
      <c r="F24" s="174">
        <v>20</v>
      </c>
      <c r="G24" s="170">
        <v>20</v>
      </c>
      <c r="H24" s="170">
        <v>21</v>
      </c>
      <c r="I24" s="170">
        <v>21</v>
      </c>
      <c r="J24" s="170">
        <v>21</v>
      </c>
      <c r="K24" s="171">
        <v>21</v>
      </c>
      <c r="L24" s="172">
        <v>21</v>
      </c>
      <c r="M24" s="172">
        <v>21</v>
      </c>
      <c r="N24" s="172">
        <v>21</v>
      </c>
      <c r="O24" s="172">
        <v>21</v>
      </c>
      <c r="P24" s="159">
        <v>21</v>
      </c>
      <c r="Q24" s="159">
        <v>21</v>
      </c>
    </row>
    <row r="25" spans="1:17" ht="12.75">
      <c r="A25" s="80"/>
      <c r="B25" s="173" t="s">
        <v>226</v>
      </c>
      <c r="C25" s="142" t="s">
        <v>230</v>
      </c>
      <c r="D25" s="175">
        <v>1</v>
      </c>
      <c r="E25" s="175">
        <v>2</v>
      </c>
      <c r="F25" s="175">
        <v>4</v>
      </c>
      <c r="G25" s="170">
        <v>4</v>
      </c>
      <c r="H25" s="170">
        <v>3</v>
      </c>
      <c r="I25" s="170">
        <v>3</v>
      </c>
      <c r="J25" s="170">
        <v>3</v>
      </c>
      <c r="K25" s="171">
        <v>3</v>
      </c>
      <c r="L25" s="172">
        <v>3</v>
      </c>
      <c r="M25" s="172">
        <v>3</v>
      </c>
      <c r="N25" s="172">
        <v>3</v>
      </c>
      <c r="O25" s="172">
        <v>3</v>
      </c>
      <c r="P25" s="159">
        <v>3</v>
      </c>
      <c r="Q25" s="159">
        <v>3</v>
      </c>
    </row>
    <row r="26" spans="1:17" ht="12.75">
      <c r="A26" s="80"/>
      <c r="B26" s="176" t="s">
        <v>227</v>
      </c>
      <c r="C26" s="142" t="s">
        <v>230</v>
      </c>
      <c r="D26" s="175" t="s">
        <v>64</v>
      </c>
      <c r="E26" s="175" t="s">
        <v>64</v>
      </c>
      <c r="F26" s="175" t="s">
        <v>64</v>
      </c>
      <c r="G26" s="175" t="s">
        <v>64</v>
      </c>
      <c r="H26" s="175" t="s">
        <v>64</v>
      </c>
      <c r="I26" s="175" t="s">
        <v>64</v>
      </c>
      <c r="J26" s="175" t="s">
        <v>64</v>
      </c>
      <c r="K26" s="175" t="s">
        <v>64</v>
      </c>
      <c r="L26" s="172">
        <v>1</v>
      </c>
      <c r="M26" s="172">
        <v>1</v>
      </c>
      <c r="N26" s="172">
        <v>1</v>
      </c>
      <c r="O26" s="172">
        <v>1</v>
      </c>
      <c r="P26" s="159">
        <v>1</v>
      </c>
      <c r="Q26" s="159">
        <v>1</v>
      </c>
    </row>
    <row r="27" spans="1:17" ht="12.75">
      <c r="A27" s="80"/>
      <c r="B27" s="176" t="s">
        <v>228</v>
      </c>
      <c r="C27" s="142" t="s">
        <v>230</v>
      </c>
      <c r="D27" s="175">
        <v>6</v>
      </c>
      <c r="E27" s="175">
        <v>5</v>
      </c>
      <c r="F27" s="175">
        <v>5</v>
      </c>
      <c r="G27" s="170">
        <v>5</v>
      </c>
      <c r="H27" s="170">
        <v>5</v>
      </c>
      <c r="I27" s="170">
        <v>5</v>
      </c>
      <c r="J27" s="170">
        <v>5</v>
      </c>
      <c r="K27" s="171">
        <v>5</v>
      </c>
      <c r="L27" s="172">
        <v>5</v>
      </c>
      <c r="M27" s="172">
        <v>5</v>
      </c>
      <c r="N27" s="172">
        <v>5</v>
      </c>
      <c r="O27" s="172">
        <v>5</v>
      </c>
      <c r="P27" s="159">
        <v>5</v>
      </c>
      <c r="Q27" s="159">
        <v>5</v>
      </c>
    </row>
    <row r="28" spans="1:17" s="181" customFormat="1" ht="32.25" customHeight="1">
      <c r="A28" s="169"/>
      <c r="B28" s="75" t="s">
        <v>232</v>
      </c>
      <c r="C28" s="142" t="s">
        <v>219</v>
      </c>
      <c r="D28" s="177"/>
      <c r="E28" s="177"/>
      <c r="F28" s="177"/>
      <c r="G28" s="174"/>
      <c r="H28" s="174"/>
      <c r="I28" s="174"/>
      <c r="J28" s="174"/>
      <c r="K28" s="178"/>
      <c r="L28" s="179"/>
      <c r="M28" s="179"/>
      <c r="N28" s="179"/>
      <c r="O28" s="179"/>
      <c r="P28" s="180"/>
      <c r="Q28" s="180"/>
    </row>
    <row r="29" spans="1:17" ht="12.75">
      <c r="A29" s="80"/>
      <c r="B29" s="146" t="s">
        <v>218</v>
      </c>
      <c r="C29" s="80" t="s">
        <v>219</v>
      </c>
      <c r="D29" s="177" t="s">
        <v>64</v>
      </c>
      <c r="E29" s="177">
        <v>1</v>
      </c>
      <c r="F29" s="177">
        <v>5</v>
      </c>
      <c r="G29" s="170">
        <v>7</v>
      </c>
      <c r="H29" s="170">
        <v>6</v>
      </c>
      <c r="I29" s="170">
        <v>6</v>
      </c>
      <c r="J29" s="170">
        <v>7</v>
      </c>
      <c r="K29" s="171">
        <v>5</v>
      </c>
      <c r="L29" s="172">
        <v>6</v>
      </c>
      <c r="M29" s="172">
        <v>6</v>
      </c>
      <c r="N29" s="172">
        <v>5</v>
      </c>
      <c r="O29" s="172">
        <v>5</v>
      </c>
      <c r="P29" s="159">
        <v>6</v>
      </c>
      <c r="Q29" s="159">
        <v>6</v>
      </c>
    </row>
    <row r="30" spans="1:17" ht="12.75">
      <c r="A30" s="80"/>
      <c r="B30" s="173" t="s">
        <v>220</v>
      </c>
      <c r="C30" s="80" t="s">
        <v>219</v>
      </c>
      <c r="D30" s="177" t="s">
        <v>64</v>
      </c>
      <c r="E30" s="177" t="s">
        <v>64</v>
      </c>
      <c r="F30" s="177">
        <v>2</v>
      </c>
      <c r="G30" s="170">
        <v>2</v>
      </c>
      <c r="H30" s="170">
        <v>1</v>
      </c>
      <c r="I30" s="170">
        <v>1</v>
      </c>
      <c r="J30" s="170">
        <v>1</v>
      </c>
      <c r="K30" s="171">
        <v>1</v>
      </c>
      <c r="L30" s="172">
        <v>1</v>
      </c>
      <c r="M30" s="172"/>
      <c r="N30" s="172"/>
      <c r="O30" s="172"/>
      <c r="P30" s="159"/>
      <c r="Q30" s="159"/>
    </row>
    <row r="31" spans="1:17" ht="12.75">
      <c r="A31" s="80"/>
      <c r="B31" s="146" t="s">
        <v>221</v>
      </c>
      <c r="C31" s="80" t="s">
        <v>219</v>
      </c>
      <c r="D31" s="177" t="s">
        <v>64</v>
      </c>
      <c r="E31" s="177" t="s">
        <v>64</v>
      </c>
      <c r="F31" s="177">
        <v>1</v>
      </c>
      <c r="G31" s="170">
        <v>1</v>
      </c>
      <c r="H31" s="170">
        <v>1</v>
      </c>
      <c r="I31" s="170">
        <v>1</v>
      </c>
      <c r="J31" s="170">
        <v>1</v>
      </c>
      <c r="K31" s="171">
        <v>1</v>
      </c>
      <c r="L31" s="172">
        <v>1</v>
      </c>
      <c r="M31" s="172">
        <v>1</v>
      </c>
      <c r="N31" s="172">
        <v>1</v>
      </c>
      <c r="O31" s="172">
        <v>1</v>
      </c>
      <c r="P31" s="159">
        <v>1</v>
      </c>
      <c r="Q31" s="159">
        <v>1</v>
      </c>
    </row>
    <row r="32" spans="1:17" ht="12.75">
      <c r="A32" s="80"/>
      <c r="B32" s="146" t="s">
        <v>222</v>
      </c>
      <c r="C32" s="80" t="s">
        <v>219</v>
      </c>
      <c r="D32" s="177" t="s">
        <v>64</v>
      </c>
      <c r="E32" s="177" t="s">
        <v>64</v>
      </c>
      <c r="F32" s="177">
        <v>1</v>
      </c>
      <c r="G32" s="170">
        <v>1</v>
      </c>
      <c r="H32" s="177" t="s">
        <v>64</v>
      </c>
      <c r="I32" s="177" t="s">
        <v>64</v>
      </c>
      <c r="J32" s="177" t="s">
        <v>64</v>
      </c>
      <c r="K32" s="177" t="s">
        <v>64</v>
      </c>
      <c r="L32" s="182" t="s">
        <v>64</v>
      </c>
      <c r="M32" s="182" t="s">
        <v>64</v>
      </c>
      <c r="N32" s="182" t="s">
        <v>64</v>
      </c>
      <c r="O32" s="172"/>
      <c r="P32" s="159"/>
      <c r="Q32" s="159"/>
    </row>
    <row r="33" spans="1:17" ht="12.75">
      <c r="A33" s="80"/>
      <c r="B33" s="146" t="s">
        <v>223</v>
      </c>
      <c r="C33" s="80" t="s">
        <v>219</v>
      </c>
      <c r="D33" s="177" t="s">
        <v>64</v>
      </c>
      <c r="E33" s="177" t="s">
        <v>64</v>
      </c>
      <c r="F33" s="177" t="s">
        <v>64</v>
      </c>
      <c r="G33" s="177" t="s">
        <v>64</v>
      </c>
      <c r="H33" s="177" t="s">
        <v>64</v>
      </c>
      <c r="I33" s="177" t="s">
        <v>64</v>
      </c>
      <c r="J33" s="177" t="s">
        <v>64</v>
      </c>
      <c r="K33" s="177" t="s">
        <v>64</v>
      </c>
      <c r="L33" s="182" t="s">
        <v>64</v>
      </c>
      <c r="M33" s="182" t="s">
        <v>64</v>
      </c>
      <c r="N33" s="182" t="s">
        <v>64</v>
      </c>
      <c r="O33" s="172"/>
      <c r="P33" s="159"/>
      <c r="Q33" s="159"/>
    </row>
    <row r="34" spans="1:17" ht="12.75">
      <c r="A34" s="80"/>
      <c r="B34" s="146" t="s">
        <v>231</v>
      </c>
      <c r="C34" s="80" t="s">
        <v>219</v>
      </c>
      <c r="D34" s="177" t="s">
        <v>64</v>
      </c>
      <c r="E34" s="177" t="s">
        <v>64</v>
      </c>
      <c r="F34" s="177" t="s">
        <v>64</v>
      </c>
      <c r="G34" s="177" t="s">
        <v>64</v>
      </c>
      <c r="H34" s="177" t="s">
        <v>64</v>
      </c>
      <c r="I34" s="177" t="s">
        <v>64</v>
      </c>
      <c r="J34" s="177" t="s">
        <v>64</v>
      </c>
      <c r="K34" s="177" t="s">
        <v>64</v>
      </c>
      <c r="L34" s="182" t="s">
        <v>64</v>
      </c>
      <c r="M34" s="182" t="s">
        <v>64</v>
      </c>
      <c r="N34" s="182" t="s">
        <v>64</v>
      </c>
      <c r="O34" s="172"/>
      <c r="P34" s="159"/>
      <c r="Q34" s="159"/>
    </row>
    <row r="35" spans="1:17" ht="12.75">
      <c r="A35" s="80"/>
      <c r="B35" s="69" t="s">
        <v>225</v>
      </c>
      <c r="C35" s="80" t="s">
        <v>219</v>
      </c>
      <c r="D35" s="177" t="s">
        <v>64</v>
      </c>
      <c r="E35" s="177" t="s">
        <v>64</v>
      </c>
      <c r="F35" s="177">
        <v>1</v>
      </c>
      <c r="G35" s="170">
        <v>3</v>
      </c>
      <c r="H35" s="170">
        <v>3</v>
      </c>
      <c r="I35" s="170">
        <v>3</v>
      </c>
      <c r="J35" s="170">
        <v>4</v>
      </c>
      <c r="K35" s="171">
        <v>2</v>
      </c>
      <c r="L35" s="172">
        <v>3</v>
      </c>
      <c r="M35" s="172">
        <v>3</v>
      </c>
      <c r="N35" s="172">
        <v>2</v>
      </c>
      <c r="O35" s="172">
        <v>2</v>
      </c>
      <c r="P35" s="159">
        <v>2</v>
      </c>
      <c r="Q35" s="159">
        <v>2</v>
      </c>
    </row>
    <row r="36" spans="1:17" ht="12.75">
      <c r="A36" s="80"/>
      <c r="B36" s="173" t="s">
        <v>226</v>
      </c>
      <c r="C36" s="142" t="s">
        <v>219</v>
      </c>
      <c r="D36" s="177" t="s">
        <v>64</v>
      </c>
      <c r="E36" s="177" t="s">
        <v>64</v>
      </c>
      <c r="F36" s="177" t="s">
        <v>64</v>
      </c>
      <c r="G36" s="177" t="s">
        <v>64</v>
      </c>
      <c r="H36" s="177" t="s">
        <v>64</v>
      </c>
      <c r="I36" s="177" t="s">
        <v>64</v>
      </c>
      <c r="J36" s="177" t="s">
        <v>64</v>
      </c>
      <c r="K36" s="177" t="s">
        <v>64</v>
      </c>
      <c r="L36" s="182" t="s">
        <v>64</v>
      </c>
      <c r="M36" s="182" t="s">
        <v>64</v>
      </c>
      <c r="N36" s="182" t="s">
        <v>64</v>
      </c>
      <c r="O36" s="172"/>
      <c r="P36" s="159"/>
      <c r="Q36" s="159"/>
    </row>
    <row r="37" spans="1:17" ht="12.75">
      <c r="A37" s="80"/>
      <c r="B37" s="176" t="s">
        <v>227</v>
      </c>
      <c r="C37" s="142" t="s">
        <v>219</v>
      </c>
      <c r="D37" s="177" t="s">
        <v>64</v>
      </c>
      <c r="E37" s="177" t="s">
        <v>64</v>
      </c>
      <c r="F37" s="177" t="s">
        <v>64</v>
      </c>
      <c r="G37" s="177" t="s">
        <v>64</v>
      </c>
      <c r="H37" s="177" t="s">
        <v>64</v>
      </c>
      <c r="I37" s="177" t="s">
        <v>64</v>
      </c>
      <c r="J37" s="177" t="s">
        <v>64</v>
      </c>
      <c r="K37" s="177" t="s">
        <v>64</v>
      </c>
      <c r="L37" s="182" t="s">
        <v>64</v>
      </c>
      <c r="M37" s="182" t="s">
        <v>64</v>
      </c>
      <c r="N37" s="182" t="s">
        <v>64</v>
      </c>
      <c r="O37" s="172"/>
      <c r="P37" s="159">
        <v>1</v>
      </c>
      <c r="Q37" s="159">
        <v>1</v>
      </c>
    </row>
    <row r="38" spans="1:17" ht="12.75">
      <c r="A38" s="80"/>
      <c r="B38" s="176" t="s">
        <v>228</v>
      </c>
      <c r="C38" s="142" t="s">
        <v>219</v>
      </c>
      <c r="D38" s="177" t="s">
        <v>64</v>
      </c>
      <c r="E38" s="177">
        <v>1</v>
      </c>
      <c r="F38" s="177">
        <v>2</v>
      </c>
      <c r="G38" s="170">
        <v>2</v>
      </c>
      <c r="H38" s="170">
        <v>2</v>
      </c>
      <c r="I38" s="170">
        <v>2</v>
      </c>
      <c r="J38" s="170">
        <v>2</v>
      </c>
      <c r="K38" s="171">
        <v>2</v>
      </c>
      <c r="L38" s="172">
        <v>2</v>
      </c>
      <c r="M38" s="172">
        <v>2</v>
      </c>
      <c r="N38" s="172">
        <v>2</v>
      </c>
      <c r="O38" s="172">
        <v>2</v>
      </c>
      <c r="P38" s="159">
        <v>2</v>
      </c>
      <c r="Q38" s="159">
        <v>2</v>
      </c>
    </row>
    <row r="39" spans="1:17" ht="12.75">
      <c r="A39" s="183"/>
      <c r="B39" s="96" t="s">
        <v>233</v>
      </c>
      <c r="C39" s="183"/>
      <c r="D39" s="184"/>
      <c r="E39" s="184"/>
      <c r="F39" s="184"/>
      <c r="G39" s="170"/>
      <c r="H39" s="170"/>
      <c r="I39" s="170"/>
      <c r="J39" s="170"/>
      <c r="K39" s="171"/>
      <c r="L39" s="172"/>
      <c r="M39" s="172"/>
      <c r="N39" s="172"/>
      <c r="O39" s="172"/>
      <c r="P39" s="159"/>
      <c r="Q39" s="159"/>
    </row>
    <row r="40" spans="1:17" ht="12.75">
      <c r="A40" s="80"/>
      <c r="B40" s="185" t="s">
        <v>234</v>
      </c>
      <c r="C40" s="80" t="s">
        <v>219</v>
      </c>
      <c r="D40" s="175">
        <v>14</v>
      </c>
      <c r="E40" s="175">
        <v>21</v>
      </c>
      <c r="F40" s="175">
        <v>24</v>
      </c>
      <c r="G40" s="170">
        <v>27</v>
      </c>
      <c r="H40" s="170">
        <v>27</v>
      </c>
      <c r="I40" s="170">
        <v>27</v>
      </c>
      <c r="J40" s="170">
        <v>26</v>
      </c>
      <c r="K40" s="171">
        <v>30</v>
      </c>
      <c r="L40" s="172">
        <v>31</v>
      </c>
      <c r="M40" s="172">
        <v>32</v>
      </c>
      <c r="N40" s="172">
        <v>32</v>
      </c>
      <c r="O40" s="172">
        <v>30</v>
      </c>
      <c r="P40" s="159">
        <v>31</v>
      </c>
      <c r="Q40" s="159">
        <v>31</v>
      </c>
    </row>
    <row r="41" spans="1:17" ht="12.75">
      <c r="A41" s="80"/>
      <c r="B41" s="185" t="s">
        <v>235</v>
      </c>
      <c r="C41" s="142" t="s">
        <v>219</v>
      </c>
      <c r="D41" s="175">
        <v>8</v>
      </c>
      <c r="E41" s="175">
        <v>11</v>
      </c>
      <c r="F41" s="175">
        <v>16</v>
      </c>
      <c r="G41" s="170">
        <v>9</v>
      </c>
      <c r="H41" s="170">
        <v>9</v>
      </c>
      <c r="I41" s="170">
        <v>9</v>
      </c>
      <c r="J41" s="170">
        <v>9</v>
      </c>
      <c r="K41" s="171">
        <v>6</v>
      </c>
      <c r="L41" s="172">
        <v>5</v>
      </c>
      <c r="M41" s="172">
        <v>4</v>
      </c>
      <c r="N41" s="172">
        <v>4</v>
      </c>
      <c r="O41" s="172">
        <v>5</v>
      </c>
      <c r="P41" s="159">
        <v>5</v>
      </c>
      <c r="Q41" s="159">
        <v>5</v>
      </c>
    </row>
    <row r="42" spans="1:17" ht="12.75">
      <c r="A42" s="80"/>
      <c r="B42" s="185" t="s">
        <v>236</v>
      </c>
      <c r="C42" s="80" t="s">
        <v>219</v>
      </c>
      <c r="D42" s="175">
        <v>4</v>
      </c>
      <c r="E42" s="175">
        <v>6</v>
      </c>
      <c r="F42" s="175">
        <v>7</v>
      </c>
      <c r="G42" s="170">
        <v>5</v>
      </c>
      <c r="H42" s="170">
        <v>5</v>
      </c>
      <c r="I42" s="170">
        <v>5</v>
      </c>
      <c r="J42" s="170">
        <v>5</v>
      </c>
      <c r="K42" s="171">
        <v>3</v>
      </c>
      <c r="L42" s="172">
        <v>3</v>
      </c>
      <c r="M42" s="172">
        <v>1</v>
      </c>
      <c r="N42" s="182" t="s">
        <v>64</v>
      </c>
      <c r="O42" s="172"/>
      <c r="P42" s="159"/>
      <c r="Q42" s="159"/>
    </row>
    <row r="43" spans="1:17" ht="12.75">
      <c r="A43" s="80"/>
      <c r="B43" s="185" t="s">
        <v>237</v>
      </c>
      <c r="C43" s="80" t="s">
        <v>219</v>
      </c>
      <c r="D43" s="175">
        <v>4</v>
      </c>
      <c r="E43" s="175">
        <v>6</v>
      </c>
      <c r="F43" s="175">
        <v>7</v>
      </c>
      <c r="G43" s="170">
        <v>5</v>
      </c>
      <c r="H43" s="170">
        <v>5</v>
      </c>
      <c r="I43" s="170">
        <v>5</v>
      </c>
      <c r="J43" s="170">
        <v>5</v>
      </c>
      <c r="K43" s="171">
        <v>3</v>
      </c>
      <c r="L43" s="172">
        <v>2</v>
      </c>
      <c r="M43" s="172">
        <v>1</v>
      </c>
      <c r="N43" s="182" t="s">
        <v>64</v>
      </c>
      <c r="O43" s="172"/>
      <c r="P43" s="159"/>
      <c r="Q43" s="159">
        <v>1</v>
      </c>
    </row>
    <row r="44" spans="1:17" ht="12.75">
      <c r="A44" s="80"/>
      <c r="B44" s="185" t="s">
        <v>238</v>
      </c>
      <c r="C44" s="80" t="s">
        <v>219</v>
      </c>
      <c r="D44" s="175" t="s">
        <v>64</v>
      </c>
      <c r="E44" s="175" t="s">
        <v>64</v>
      </c>
      <c r="F44" s="175" t="s">
        <v>64</v>
      </c>
      <c r="G44" s="175" t="s">
        <v>64</v>
      </c>
      <c r="H44" s="175" t="s">
        <v>64</v>
      </c>
      <c r="I44" s="175" t="s">
        <v>64</v>
      </c>
      <c r="J44" s="175" t="s">
        <v>64</v>
      </c>
      <c r="K44" s="175" t="s">
        <v>64</v>
      </c>
      <c r="L44" s="172">
        <v>1</v>
      </c>
      <c r="M44" s="182" t="s">
        <v>64</v>
      </c>
      <c r="N44" s="182" t="s">
        <v>64</v>
      </c>
      <c r="O44" s="172"/>
      <c r="P44" s="159"/>
      <c r="Q44" s="159"/>
    </row>
    <row r="45" spans="1:17" ht="12.75">
      <c r="A45" s="80"/>
      <c r="B45" s="48" t="s">
        <v>239</v>
      </c>
      <c r="C45" s="80" t="s">
        <v>219</v>
      </c>
      <c r="D45" s="175" t="s">
        <v>64</v>
      </c>
      <c r="E45" s="175" t="s">
        <v>64</v>
      </c>
      <c r="F45" s="175" t="s">
        <v>64</v>
      </c>
      <c r="G45" s="175" t="s">
        <v>64</v>
      </c>
      <c r="H45" s="175" t="s">
        <v>64</v>
      </c>
      <c r="I45" s="175" t="s">
        <v>64</v>
      </c>
      <c r="J45" s="175" t="s">
        <v>64</v>
      </c>
      <c r="K45" s="175" t="s">
        <v>64</v>
      </c>
      <c r="L45" s="186" t="s">
        <v>64</v>
      </c>
      <c r="M45" s="186" t="s">
        <v>64</v>
      </c>
      <c r="N45" s="182" t="s">
        <v>64</v>
      </c>
      <c r="O45" s="172"/>
      <c r="P45" s="159"/>
      <c r="Q45" s="159"/>
    </row>
    <row r="46" spans="1:17" ht="12.75">
      <c r="A46" s="80"/>
      <c r="B46" s="29" t="s">
        <v>240</v>
      </c>
      <c r="C46" s="80" t="s">
        <v>219</v>
      </c>
      <c r="D46" s="187" t="s">
        <v>89</v>
      </c>
      <c r="E46" s="187" t="s">
        <v>89</v>
      </c>
      <c r="F46" s="187" t="s">
        <v>89</v>
      </c>
      <c r="G46" s="170"/>
      <c r="H46" s="170"/>
      <c r="I46" s="170"/>
      <c r="J46" s="170"/>
      <c r="K46" s="171"/>
      <c r="L46" s="172"/>
      <c r="M46" s="172"/>
      <c r="N46" s="172"/>
      <c r="O46" s="172"/>
      <c r="P46" s="159"/>
      <c r="Q46" s="159"/>
    </row>
    <row r="47" spans="1:17" ht="12.75">
      <c r="A47" s="80"/>
      <c r="B47" s="185" t="s">
        <v>241</v>
      </c>
      <c r="C47" s="142" t="s">
        <v>219</v>
      </c>
      <c r="D47" s="175">
        <v>1</v>
      </c>
      <c r="E47" s="175">
        <v>4</v>
      </c>
      <c r="F47" s="175">
        <v>4</v>
      </c>
      <c r="G47" s="170">
        <v>20</v>
      </c>
      <c r="H47" s="170">
        <v>15</v>
      </c>
      <c r="I47" s="170">
        <v>15</v>
      </c>
      <c r="J47" s="170">
        <v>13</v>
      </c>
      <c r="K47" s="171">
        <v>15</v>
      </c>
      <c r="L47" s="172">
        <v>15</v>
      </c>
      <c r="M47" s="172">
        <v>17</v>
      </c>
      <c r="N47" s="172">
        <v>17</v>
      </c>
      <c r="O47" s="172">
        <v>19</v>
      </c>
      <c r="P47" s="159">
        <v>14</v>
      </c>
      <c r="Q47" s="159">
        <v>14</v>
      </c>
    </row>
    <row r="48" spans="1:17" ht="12.75">
      <c r="A48" s="80"/>
      <c r="B48" s="185" t="s">
        <v>242</v>
      </c>
      <c r="C48" s="80" t="s">
        <v>219</v>
      </c>
      <c r="D48" s="175">
        <v>8</v>
      </c>
      <c r="E48" s="175">
        <v>10</v>
      </c>
      <c r="F48" s="175">
        <v>26</v>
      </c>
      <c r="G48" s="170">
        <v>12</v>
      </c>
      <c r="H48" s="170">
        <v>16</v>
      </c>
      <c r="I48" s="170">
        <v>16</v>
      </c>
      <c r="J48" s="170">
        <v>15</v>
      </c>
      <c r="K48" s="171">
        <v>13</v>
      </c>
      <c r="L48" s="172">
        <v>13</v>
      </c>
      <c r="M48" s="172">
        <v>11</v>
      </c>
      <c r="N48" s="172">
        <v>10</v>
      </c>
      <c r="O48" s="172">
        <v>9</v>
      </c>
      <c r="P48" s="159">
        <v>13</v>
      </c>
      <c r="Q48" s="159">
        <v>13</v>
      </c>
    </row>
    <row r="49" spans="1:17" ht="12.75">
      <c r="A49" s="80"/>
      <c r="B49" s="185" t="s">
        <v>243</v>
      </c>
      <c r="C49" s="80" t="s">
        <v>219</v>
      </c>
      <c r="D49" s="175">
        <v>7</v>
      </c>
      <c r="E49" s="175">
        <v>11</v>
      </c>
      <c r="F49" s="175">
        <v>6</v>
      </c>
      <c r="G49" s="170">
        <v>4</v>
      </c>
      <c r="H49" s="170">
        <v>4</v>
      </c>
      <c r="I49" s="170">
        <v>4</v>
      </c>
      <c r="J49" s="170">
        <v>6</v>
      </c>
      <c r="K49" s="171">
        <v>7</v>
      </c>
      <c r="L49" s="172">
        <v>7</v>
      </c>
      <c r="M49" s="172">
        <v>7</v>
      </c>
      <c r="N49" s="172">
        <v>8</v>
      </c>
      <c r="O49" s="172">
        <v>9</v>
      </c>
      <c r="P49" s="159">
        <v>6</v>
      </c>
      <c r="Q49" s="159">
        <v>5</v>
      </c>
    </row>
    <row r="50" spans="1:17" ht="12.75">
      <c r="A50" s="80"/>
      <c r="B50" s="185" t="s">
        <v>244</v>
      </c>
      <c r="C50" s="142" t="s">
        <v>219</v>
      </c>
      <c r="D50" s="175">
        <v>6</v>
      </c>
      <c r="E50" s="175">
        <v>8</v>
      </c>
      <c r="F50" s="177" t="s">
        <v>64</v>
      </c>
      <c r="G50" s="177" t="s">
        <v>64</v>
      </c>
      <c r="H50" s="170">
        <v>1</v>
      </c>
      <c r="I50" s="170">
        <v>1</v>
      </c>
      <c r="J50" s="170">
        <v>1</v>
      </c>
      <c r="K50" s="171">
        <v>1</v>
      </c>
      <c r="L50" s="172">
        <v>1</v>
      </c>
      <c r="M50" s="172">
        <v>1</v>
      </c>
      <c r="N50" s="172">
        <v>1</v>
      </c>
      <c r="O50" s="172">
        <v>1</v>
      </c>
      <c r="P50" s="159">
        <v>3</v>
      </c>
      <c r="Q50" s="159">
        <v>4</v>
      </c>
    </row>
    <row r="51" spans="1:15" ht="12.75">
      <c r="A51" s="82"/>
      <c r="B51" s="188"/>
      <c r="C51" s="82"/>
      <c r="D51" s="189"/>
      <c r="E51" s="189"/>
      <c r="F51" s="189"/>
      <c r="G51" s="190"/>
      <c r="H51" s="190"/>
      <c r="I51" s="190"/>
      <c r="J51" s="190"/>
      <c r="K51" s="190"/>
      <c r="L51" s="190"/>
      <c r="M51" s="191"/>
      <c r="N51" s="190"/>
      <c r="O51" s="190"/>
    </row>
    <row r="52" spans="1:6" ht="12.75">
      <c r="A52" s="82"/>
      <c r="B52" s="19"/>
      <c r="C52" s="82"/>
      <c r="D52" s="192"/>
      <c r="E52" s="192"/>
      <c r="F52" s="192"/>
    </row>
    <row r="53" spans="1:6" ht="12.75">
      <c r="A53" s="82"/>
      <c r="B53" s="193"/>
      <c r="C53" s="194"/>
      <c r="D53" s="192"/>
      <c r="E53" s="192"/>
      <c r="F53" s="192"/>
    </row>
    <row r="54" spans="1:6" ht="12.75">
      <c r="A54" s="82"/>
      <c r="B54" s="188"/>
      <c r="C54" s="82"/>
      <c r="D54" s="192"/>
      <c r="E54" s="192"/>
      <c r="F54" s="192"/>
    </row>
    <row r="57" spans="1:4" ht="12.75">
      <c r="A57" s="195"/>
      <c r="B57" s="196"/>
      <c r="C57" s="196"/>
      <c r="D57" s="60"/>
    </row>
    <row r="58" spans="1:4" ht="12.75">
      <c r="A58" s="195"/>
      <c r="B58" s="196"/>
      <c r="C58" s="67"/>
      <c r="D58" s="60"/>
    </row>
    <row r="59" spans="1:4" ht="12.75">
      <c r="A59" s="65"/>
      <c r="B59" s="66"/>
      <c r="C59" s="67"/>
      <c r="D59" s="60"/>
    </row>
    <row r="60" spans="1:4" ht="12.75">
      <c r="A60" s="65"/>
      <c r="B60" s="66"/>
      <c r="C60" s="67"/>
      <c r="D60" s="60"/>
    </row>
    <row r="61" spans="1:4" ht="12.75">
      <c r="A61" s="65"/>
      <c r="B61" s="66"/>
      <c r="C61" s="67"/>
      <c r="D61" s="60"/>
    </row>
    <row r="62" spans="1:4" ht="12.75">
      <c r="A62" s="65"/>
      <c r="B62" s="66"/>
      <c r="C62" s="67"/>
      <c r="D62" s="60"/>
    </row>
    <row r="63" spans="1:4" ht="12.75">
      <c r="A63" s="65"/>
      <c r="B63" s="66"/>
      <c r="C63" s="67"/>
      <c r="D63" s="60"/>
    </row>
    <row r="64" spans="1:4" ht="12.75">
      <c r="A64" s="65"/>
      <c r="B64" s="66"/>
      <c r="C64" s="67"/>
      <c r="D64" s="60"/>
    </row>
    <row r="65" spans="1:4" ht="12.75">
      <c r="A65" s="65"/>
      <c r="B65" s="66"/>
      <c r="C65" s="67"/>
      <c r="D65" s="60"/>
    </row>
    <row r="66" spans="1:4" ht="12.75">
      <c r="A66" s="65"/>
      <c r="B66" s="66"/>
      <c r="C66" s="67"/>
      <c r="D66" s="60"/>
    </row>
    <row r="67" spans="1:4" ht="12.75">
      <c r="A67" s="195"/>
      <c r="B67" s="196"/>
      <c r="C67" s="67"/>
      <c r="D67" s="60"/>
    </row>
    <row r="68" spans="1:4" ht="12.75">
      <c r="A68" s="65"/>
      <c r="B68" s="66"/>
      <c r="C68" s="67"/>
      <c r="D68" s="60"/>
    </row>
    <row r="69" spans="1:4" ht="12.75">
      <c r="A69" s="65"/>
      <c r="B69" s="66"/>
      <c r="C69" s="67"/>
      <c r="D69" s="60"/>
    </row>
    <row r="70" spans="1:4" ht="12.75">
      <c r="A70" s="65"/>
      <c r="B70" s="66"/>
      <c r="C70" s="67"/>
      <c r="D70" s="60"/>
    </row>
    <row r="71" spans="1:4" ht="12.75">
      <c r="A71" s="65"/>
      <c r="B71" s="66"/>
      <c r="C71" s="67"/>
      <c r="D71" s="60"/>
    </row>
    <row r="72" spans="1:4" ht="12.75">
      <c r="A72" s="65"/>
      <c r="B72" s="66"/>
      <c r="C72" s="67"/>
      <c r="D72" s="60"/>
    </row>
    <row r="73" spans="1:4" ht="12.75">
      <c r="A73" s="65"/>
      <c r="B73" s="66"/>
      <c r="C73" s="67"/>
      <c r="D73" s="60"/>
    </row>
    <row r="74" spans="1:4" ht="12.75">
      <c r="A74" s="65"/>
      <c r="B74" s="66"/>
      <c r="C74" s="67"/>
      <c r="D74" s="60"/>
    </row>
    <row r="75" spans="1:4" ht="12.75">
      <c r="A75" s="65"/>
      <c r="B75" s="66"/>
      <c r="C75" s="67"/>
      <c r="D75" s="60"/>
    </row>
    <row r="76" spans="1:4" ht="12.75">
      <c r="A76" s="195"/>
      <c r="B76" s="196"/>
      <c r="C76" s="67"/>
      <c r="D76" s="60"/>
    </row>
    <row r="77" spans="1:4" ht="12.75">
      <c r="A77" s="65"/>
      <c r="B77" s="66"/>
      <c r="C77" s="67"/>
      <c r="D77" s="60"/>
    </row>
    <row r="78" spans="1:4" ht="12.75">
      <c r="A78" s="65"/>
      <c r="B78" s="66"/>
      <c r="C78" s="67"/>
      <c r="D78" s="60"/>
    </row>
    <row r="79" spans="1:4" ht="12.75">
      <c r="A79" s="65"/>
      <c r="B79" s="66"/>
      <c r="C79" s="67"/>
      <c r="D79" s="60"/>
    </row>
    <row r="80" spans="1:4" ht="12.75">
      <c r="A80" s="65"/>
      <c r="B80" s="60"/>
      <c r="C80" s="67"/>
      <c r="D80" s="60"/>
    </row>
    <row r="81" spans="1:4" ht="12.75">
      <c r="A81" s="195"/>
      <c r="B81" s="196"/>
      <c r="C81" s="67"/>
      <c r="D81" s="60"/>
    </row>
    <row r="82" spans="1:4" ht="12.75">
      <c r="A82" s="65"/>
      <c r="B82" s="66"/>
      <c r="C82" s="67"/>
      <c r="D82" s="60"/>
    </row>
    <row r="83" spans="1:4" ht="12.75">
      <c r="A83" s="65"/>
      <c r="B83" s="66"/>
      <c r="C83" s="67"/>
      <c r="D83" s="60"/>
    </row>
    <row r="84" spans="1:4" ht="12.75">
      <c r="A84" s="65"/>
      <c r="B84" s="66"/>
      <c r="C84" s="67"/>
      <c r="D84" s="60"/>
    </row>
    <row r="85" spans="1:4" ht="12.75">
      <c r="A85" s="65"/>
      <c r="B85" s="66"/>
      <c r="C85" s="67"/>
      <c r="D85" s="60"/>
    </row>
    <row r="86" spans="1:4" ht="12.75">
      <c r="A86" s="60"/>
      <c r="B86" s="60"/>
      <c r="C86" s="67"/>
      <c r="D86" s="60"/>
    </row>
    <row r="87" spans="1:4" ht="12.75">
      <c r="A87" s="60"/>
      <c r="B87" s="60"/>
      <c r="C87" s="67"/>
      <c r="D87" s="60"/>
    </row>
    <row r="88" spans="1:4" ht="12.75">
      <c r="A88" s="197"/>
      <c r="B88" s="197"/>
      <c r="C88" s="197"/>
      <c r="D88" s="60"/>
    </row>
    <row r="89" spans="1:4" ht="12.75">
      <c r="A89" s="197"/>
      <c r="B89" s="197"/>
      <c r="C89" s="197"/>
      <c r="D89" s="60"/>
    </row>
    <row r="90" spans="1:4" ht="12.75">
      <c r="A90" s="197"/>
      <c r="B90" s="197"/>
      <c r="C90" s="197"/>
      <c r="D90" s="60"/>
    </row>
    <row r="91" spans="1:4" ht="12.75">
      <c r="A91" s="197"/>
      <c r="B91" s="197"/>
      <c r="C91" s="197"/>
      <c r="D91" s="60"/>
    </row>
    <row r="92" spans="1:4" ht="12.75">
      <c r="A92" s="197"/>
      <c r="B92" s="197"/>
      <c r="C92" s="197"/>
      <c r="D92" s="60"/>
    </row>
  </sheetData>
  <sheetProtection selectLockedCells="1" selectUnlockedCells="1"/>
  <mergeCells count="4">
    <mergeCell ref="A1:D1"/>
    <mergeCell ref="A2:E2"/>
    <mergeCell ref="A3:F3"/>
    <mergeCell ref="B57:C5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zoomScale="110" zoomScaleNormal="110" workbookViewId="0" topLeftCell="A1">
      <selection activeCell="C12" activeCellId="1" sqref="A74:J74 C12"/>
    </sheetView>
  </sheetViews>
  <sheetFormatPr defaultColWidth="9.00390625" defaultRowHeight="12.75"/>
  <cols>
    <col min="1" max="1" width="5.625" style="198" customWidth="1"/>
    <col min="2" max="2" width="44.50390625" style="198" customWidth="1"/>
    <col min="3" max="3" width="16.00390625" style="198" customWidth="1"/>
    <col min="4" max="4" width="19.625" style="199" customWidth="1"/>
    <col min="5" max="16384" width="9.375" style="198" customWidth="1"/>
  </cols>
  <sheetData>
    <row r="1" spans="1:4" ht="12.75" customHeight="1">
      <c r="A1" s="22" t="s">
        <v>11</v>
      </c>
      <c r="B1" s="22"/>
      <c r="C1" s="22"/>
      <c r="D1" s="22"/>
    </row>
    <row r="2" spans="1:5" ht="12.75" customHeight="1">
      <c r="A2" s="200" t="s">
        <v>24</v>
      </c>
      <c r="B2" s="200"/>
      <c r="C2" s="200"/>
      <c r="D2" s="200"/>
      <c r="E2" s="200"/>
    </row>
    <row r="3" spans="1:4" ht="12.75" customHeight="1">
      <c r="A3" s="201" t="s">
        <v>25</v>
      </c>
      <c r="B3" s="201"/>
      <c r="C3" s="201"/>
      <c r="D3" s="201"/>
    </row>
    <row r="4" spans="1:3" ht="12.75">
      <c r="A4" s="199"/>
      <c r="B4" s="199"/>
      <c r="C4" s="199"/>
    </row>
    <row r="5" spans="1:4" ht="29.25" customHeight="1">
      <c r="A5" s="202" t="s">
        <v>200</v>
      </c>
      <c r="B5" s="202" t="s">
        <v>201</v>
      </c>
      <c r="C5" s="202" t="s">
        <v>245</v>
      </c>
      <c r="D5" s="202"/>
    </row>
    <row r="6" spans="1:4" ht="12.75" customHeight="1">
      <c r="A6" s="96" t="s">
        <v>246</v>
      </c>
      <c r="B6" s="96"/>
      <c r="C6" s="96"/>
      <c r="D6" s="96"/>
    </row>
    <row r="7" spans="1:4" ht="12.75" customHeight="1">
      <c r="A7" s="203" t="s">
        <v>4</v>
      </c>
      <c r="B7" s="204" t="s">
        <v>247</v>
      </c>
      <c r="C7" s="57" t="s">
        <v>248</v>
      </c>
      <c r="D7" s="57"/>
    </row>
    <row r="8" spans="1:4" ht="15.75" customHeight="1">
      <c r="A8" s="203" t="s">
        <v>6</v>
      </c>
      <c r="B8" s="204" t="s">
        <v>249</v>
      </c>
      <c r="C8" s="57" t="s">
        <v>250</v>
      </c>
      <c r="D8" s="57"/>
    </row>
    <row r="9" spans="1:4" ht="12.75" customHeight="1">
      <c r="A9" s="203" t="s">
        <v>8</v>
      </c>
      <c r="B9" s="204" t="s">
        <v>251</v>
      </c>
      <c r="C9" s="57" t="s">
        <v>252</v>
      </c>
      <c r="D9" s="57"/>
    </row>
    <row r="10" spans="1:4" ht="12.75" customHeight="1">
      <c r="A10" s="203" t="s">
        <v>10</v>
      </c>
      <c r="B10" s="204" t="s">
        <v>253</v>
      </c>
      <c r="C10" s="57" t="s">
        <v>39</v>
      </c>
      <c r="D10" s="57"/>
    </row>
    <row r="11" spans="1:4" ht="12.75" customHeight="1">
      <c r="A11" s="203" t="s">
        <v>254</v>
      </c>
      <c r="B11" s="204" t="s">
        <v>255</v>
      </c>
      <c r="C11" s="57" t="s">
        <v>39</v>
      </c>
      <c r="D11" s="57"/>
    </row>
    <row r="12" spans="1:4" s="206" customFormat="1" ht="156" customHeight="1">
      <c r="A12" s="79" t="s">
        <v>12</v>
      </c>
      <c r="B12" s="35" t="s">
        <v>256</v>
      </c>
      <c r="C12" s="205" t="s">
        <v>257</v>
      </c>
      <c r="D12" s="205"/>
    </row>
    <row r="13" spans="1:4" s="206" customFormat="1" ht="53.25" customHeight="1">
      <c r="A13" s="79" t="s">
        <v>14</v>
      </c>
      <c r="B13" s="35" t="s">
        <v>258</v>
      </c>
      <c r="C13" s="57" t="s">
        <v>39</v>
      </c>
      <c r="D13" s="57"/>
    </row>
    <row r="14" spans="1:4" ht="0.75" customHeight="1" hidden="1">
      <c r="A14" s="96"/>
      <c r="B14" s="96"/>
      <c r="C14" s="96"/>
      <c r="D14" s="96"/>
    </row>
    <row r="15" spans="1:4" ht="12.75" hidden="1">
      <c r="A15" s="203"/>
      <c r="B15" s="207"/>
      <c r="C15" s="57"/>
      <c r="D15" s="57"/>
    </row>
    <row r="16" spans="1:4" ht="12.75" hidden="1">
      <c r="A16" s="203"/>
      <c r="B16" s="207"/>
      <c r="C16" s="57"/>
      <c r="D16" s="57"/>
    </row>
    <row r="17" spans="1:4" ht="12.75" hidden="1">
      <c r="A17" s="203"/>
      <c r="B17" s="207"/>
      <c r="C17" s="57"/>
      <c r="D17" s="57"/>
    </row>
    <row r="18" spans="1:4" ht="12.75" hidden="1">
      <c r="A18" s="203"/>
      <c r="B18" s="207"/>
      <c r="C18" s="57"/>
      <c r="D18" s="57"/>
    </row>
    <row r="19" spans="1:4" ht="12.75" hidden="1">
      <c r="A19" s="203"/>
      <c r="B19" s="207"/>
      <c r="C19" s="57"/>
      <c r="D19" s="57"/>
    </row>
    <row r="20" spans="1:4" ht="12.75" hidden="1">
      <c r="A20" s="203"/>
      <c r="B20" s="207"/>
      <c r="C20" s="57"/>
      <c r="D20" s="57"/>
    </row>
    <row r="21" spans="1:4" ht="12.75" hidden="1">
      <c r="A21" s="208"/>
      <c r="B21" s="209"/>
      <c r="C21" s="210"/>
      <c r="D21" s="211"/>
    </row>
    <row r="22" spans="1:4" ht="12.75" customHeight="1">
      <c r="A22" s="96" t="s">
        <v>259</v>
      </c>
      <c r="B22" s="96"/>
      <c r="C22" s="96"/>
      <c r="D22" s="96"/>
    </row>
    <row r="23" spans="1:4" ht="12.75" customHeight="1">
      <c r="A23" s="203">
        <v>7</v>
      </c>
      <c r="B23" s="207" t="s">
        <v>247</v>
      </c>
      <c r="C23" s="57" t="s">
        <v>260</v>
      </c>
      <c r="D23" s="57"/>
    </row>
    <row r="24" spans="1:4" ht="12.75" customHeight="1">
      <c r="A24" s="203" t="s">
        <v>18</v>
      </c>
      <c r="B24" s="207" t="s">
        <v>251</v>
      </c>
      <c r="C24" s="57" t="s">
        <v>261</v>
      </c>
      <c r="D24" s="57"/>
    </row>
    <row r="25" spans="1:4" ht="12.75" customHeight="1">
      <c r="A25" s="203" t="s">
        <v>20</v>
      </c>
      <c r="B25" s="207" t="s">
        <v>255</v>
      </c>
      <c r="C25" s="57" t="s">
        <v>39</v>
      </c>
      <c r="D25" s="57"/>
    </row>
    <row r="26" spans="1:4" ht="12.75" customHeight="1">
      <c r="A26" s="203" t="s">
        <v>22</v>
      </c>
      <c r="B26" s="207" t="s">
        <v>262</v>
      </c>
      <c r="C26" s="57" t="s">
        <v>39</v>
      </c>
      <c r="D26" s="57"/>
    </row>
    <row r="27" spans="1:4" ht="12.75" customHeight="1">
      <c r="A27" s="203" t="s">
        <v>263</v>
      </c>
      <c r="B27" s="207" t="s">
        <v>264</v>
      </c>
      <c r="C27" s="57" t="s">
        <v>39</v>
      </c>
      <c r="D27" s="57"/>
    </row>
    <row r="28" spans="1:4" ht="12.75" customHeight="1">
      <c r="A28" s="203" t="s">
        <v>265</v>
      </c>
      <c r="B28" s="207" t="s">
        <v>266</v>
      </c>
      <c r="C28" s="57" t="s">
        <v>39</v>
      </c>
      <c r="D28" s="57"/>
    </row>
  </sheetData>
  <sheetProtection selectLockedCells="1" selectUnlockedCells="1"/>
  <mergeCells count="26">
    <mergeCell ref="A1:D1"/>
    <mergeCell ref="A2:E2"/>
    <mergeCell ref="A3:D3"/>
    <mergeCell ref="C5:D5"/>
    <mergeCell ref="A6:D6"/>
    <mergeCell ref="C7:D7"/>
    <mergeCell ref="C8:D8"/>
    <mergeCell ref="C9:D9"/>
    <mergeCell ref="C10:D10"/>
    <mergeCell ref="C11:D11"/>
    <mergeCell ref="C12:D12"/>
    <mergeCell ref="C13:D13"/>
    <mergeCell ref="A14:D14"/>
    <mergeCell ref="C15:D15"/>
    <mergeCell ref="C16:D16"/>
    <mergeCell ref="C17:D17"/>
    <mergeCell ref="C18:D18"/>
    <mergeCell ref="C19:D19"/>
    <mergeCell ref="C20:D20"/>
    <mergeCell ref="A22:D22"/>
    <mergeCell ref="C23:D23"/>
    <mergeCell ref="C24:D24"/>
    <mergeCell ref="C25:D25"/>
    <mergeCell ref="C26:D26"/>
    <mergeCell ref="C27:D27"/>
    <mergeCell ref="C28:D28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6"/>
  <sheetViews>
    <sheetView workbookViewId="0" topLeftCell="A73">
      <selection activeCell="D77" activeCellId="1" sqref="A74:J74 D77"/>
    </sheetView>
  </sheetViews>
  <sheetFormatPr defaultColWidth="9.00390625" defaultRowHeight="12.75"/>
  <cols>
    <col min="1" max="1" width="4.375" style="0" customWidth="1"/>
    <col min="2" max="2" width="60.50390625" style="0" customWidth="1"/>
    <col min="3" max="3" width="16.50390625" style="0" customWidth="1"/>
    <col min="4" max="4" width="36.50390625" style="0" customWidth="1"/>
    <col min="5" max="5" width="5.50390625" style="0" customWidth="1"/>
  </cols>
  <sheetData>
    <row r="1" spans="1:4" ht="12.75">
      <c r="A1" s="18" t="s">
        <v>267</v>
      </c>
      <c r="B1" s="18"/>
      <c r="C1" s="18"/>
      <c r="D1" s="18"/>
    </row>
    <row r="2" spans="1:4" ht="12.75">
      <c r="A2" s="87" t="s">
        <v>24</v>
      </c>
      <c r="B2" s="87"/>
      <c r="C2" s="87"/>
      <c r="D2" s="87"/>
    </row>
    <row r="3" spans="1:4" ht="12.75">
      <c r="A3" s="89" t="s">
        <v>25</v>
      </c>
      <c r="B3" s="89"/>
      <c r="C3" s="89"/>
      <c r="D3" s="89"/>
    </row>
    <row r="4" spans="1:4" ht="12.75">
      <c r="A4" s="17"/>
      <c r="B4" s="17"/>
      <c r="C4" s="17"/>
      <c r="D4" s="17"/>
    </row>
    <row r="5" spans="1:4" ht="51.75" customHeight="1">
      <c r="A5" s="162" t="s">
        <v>200</v>
      </c>
      <c r="B5" s="161" t="s">
        <v>201</v>
      </c>
      <c r="C5" s="161" t="s">
        <v>268</v>
      </c>
      <c r="D5" s="162" t="s">
        <v>269</v>
      </c>
    </row>
    <row r="6" spans="1:4" ht="19.5" customHeight="1">
      <c r="A6" s="212"/>
      <c r="B6" s="212" t="s">
        <v>270</v>
      </c>
      <c r="C6" s="212"/>
      <c r="D6" s="212"/>
    </row>
    <row r="7" spans="1:5" ht="12.75">
      <c r="A7" s="213"/>
      <c r="B7" s="148" t="s">
        <v>271</v>
      </c>
      <c r="C7" s="142" t="s">
        <v>272</v>
      </c>
      <c r="D7" s="64" t="s">
        <v>64</v>
      </c>
      <c r="E7" s="181"/>
    </row>
    <row r="8" spans="1:4" ht="12.75">
      <c r="A8" s="213"/>
      <c r="B8" s="148" t="s">
        <v>273</v>
      </c>
      <c r="C8" s="142" t="s">
        <v>274</v>
      </c>
      <c r="D8" s="214" t="s">
        <v>64</v>
      </c>
    </row>
    <row r="9" spans="1:4" ht="12.75">
      <c r="A9" s="213"/>
      <c r="B9" s="148" t="s">
        <v>275</v>
      </c>
      <c r="C9" s="142" t="s">
        <v>274</v>
      </c>
      <c r="D9" s="214" t="s">
        <v>64</v>
      </c>
    </row>
    <row r="10" spans="1:4" ht="12.75">
      <c r="A10" s="213"/>
      <c r="B10" s="148" t="s">
        <v>276</v>
      </c>
      <c r="C10" s="142" t="s">
        <v>274</v>
      </c>
      <c r="D10" s="215" t="s">
        <v>64</v>
      </c>
    </row>
    <row r="11" spans="1:4" ht="12.75">
      <c r="A11" s="213"/>
      <c r="B11" s="148" t="s">
        <v>277</v>
      </c>
      <c r="C11" s="142" t="s">
        <v>274</v>
      </c>
      <c r="D11" s="214" t="s">
        <v>64</v>
      </c>
    </row>
    <row r="12" spans="1:4" ht="12.75">
      <c r="A12" s="213"/>
      <c r="B12" s="148" t="s">
        <v>278</v>
      </c>
      <c r="C12" s="142" t="s">
        <v>274</v>
      </c>
      <c r="D12" s="64" t="s">
        <v>64</v>
      </c>
    </row>
    <row r="13" spans="1:4" ht="12.75">
      <c r="A13" s="213"/>
      <c r="B13" s="148" t="s">
        <v>279</v>
      </c>
      <c r="C13" s="142" t="s">
        <v>274</v>
      </c>
      <c r="D13" s="64" t="s">
        <v>64</v>
      </c>
    </row>
    <row r="14" spans="1:4" ht="12.75">
      <c r="A14" s="213"/>
      <c r="B14" s="148" t="s">
        <v>280</v>
      </c>
      <c r="C14" s="142"/>
      <c r="D14" s="64" t="s">
        <v>64</v>
      </c>
    </row>
    <row r="15" spans="1:4" ht="12.75">
      <c r="A15" s="213"/>
      <c r="B15" s="148" t="s">
        <v>281</v>
      </c>
      <c r="C15" s="142" t="s">
        <v>282</v>
      </c>
      <c r="D15" s="64" t="s">
        <v>64</v>
      </c>
    </row>
    <row r="16" spans="1:4" ht="12.75">
      <c r="A16" s="213"/>
      <c r="B16" s="148" t="s">
        <v>283</v>
      </c>
      <c r="C16" s="142" t="s">
        <v>272</v>
      </c>
      <c r="D16" s="64" t="s">
        <v>64</v>
      </c>
    </row>
    <row r="17" spans="1:4" ht="12.75">
      <c r="A17" s="213"/>
      <c r="B17" s="148" t="s">
        <v>284</v>
      </c>
      <c r="C17" s="142" t="s">
        <v>272</v>
      </c>
      <c r="D17" s="64" t="s">
        <v>64</v>
      </c>
    </row>
    <row r="18" spans="1:4" ht="12.75">
      <c r="A18" s="213"/>
      <c r="B18" s="148" t="s">
        <v>285</v>
      </c>
      <c r="C18" s="142" t="s">
        <v>272</v>
      </c>
      <c r="D18" s="64" t="s">
        <v>64</v>
      </c>
    </row>
    <row r="19" spans="1:4" ht="12.75">
      <c r="A19" s="213"/>
      <c r="B19" s="148" t="s">
        <v>286</v>
      </c>
      <c r="C19" s="142" t="s">
        <v>272</v>
      </c>
      <c r="D19" s="64" t="s">
        <v>64</v>
      </c>
    </row>
    <row r="20" spans="1:4" ht="12.75">
      <c r="A20" s="213"/>
      <c r="B20" s="148" t="s">
        <v>287</v>
      </c>
      <c r="C20" s="142" t="s">
        <v>272</v>
      </c>
      <c r="D20" s="64" t="s">
        <v>64</v>
      </c>
    </row>
    <row r="21" spans="1:4" ht="12.75">
      <c r="A21" s="213"/>
      <c r="B21" s="148" t="s">
        <v>288</v>
      </c>
      <c r="C21" s="142" t="s">
        <v>272</v>
      </c>
      <c r="D21" s="64" t="s">
        <v>64</v>
      </c>
    </row>
    <row r="22" spans="1:4" ht="12.75">
      <c r="A22" s="213"/>
      <c r="B22" s="79" t="s">
        <v>289</v>
      </c>
      <c r="C22" s="142" t="s">
        <v>272</v>
      </c>
      <c r="D22" s="64" t="s">
        <v>64</v>
      </c>
    </row>
    <row r="23" spans="1:4" ht="12.75">
      <c r="A23" s="213"/>
      <c r="B23" s="213" t="s">
        <v>290</v>
      </c>
      <c r="C23" s="142" t="s">
        <v>272</v>
      </c>
      <c r="D23" s="64" t="s">
        <v>64</v>
      </c>
    </row>
    <row r="24" spans="1:4" ht="12.75">
      <c r="A24" s="213"/>
      <c r="B24" s="213" t="s">
        <v>291</v>
      </c>
      <c r="C24" s="142" t="s">
        <v>272</v>
      </c>
      <c r="D24" s="64" t="s">
        <v>64</v>
      </c>
    </row>
    <row r="25" spans="1:4" ht="12.75">
      <c r="A25" s="213"/>
      <c r="B25" s="213" t="s">
        <v>292</v>
      </c>
      <c r="C25" s="142" t="s">
        <v>272</v>
      </c>
      <c r="D25" s="64" t="s">
        <v>64</v>
      </c>
    </row>
    <row r="26" spans="1:4" ht="12.75">
      <c r="A26" s="213"/>
      <c r="B26" s="213" t="s">
        <v>293</v>
      </c>
      <c r="C26" s="142" t="s">
        <v>272</v>
      </c>
      <c r="D26" s="64" t="s">
        <v>64</v>
      </c>
    </row>
    <row r="27" spans="1:4" ht="12.75">
      <c r="A27" s="213"/>
      <c r="B27" s="213" t="s">
        <v>294</v>
      </c>
      <c r="C27" s="142" t="s">
        <v>272</v>
      </c>
      <c r="D27" s="64" t="s">
        <v>64</v>
      </c>
    </row>
    <row r="28" spans="1:4" ht="12.75">
      <c r="A28" s="213"/>
      <c r="B28" s="213" t="s">
        <v>295</v>
      </c>
      <c r="C28" s="142" t="s">
        <v>272</v>
      </c>
      <c r="D28" s="64" t="s">
        <v>64</v>
      </c>
    </row>
    <row r="29" spans="1:4" ht="12.75">
      <c r="A29" s="216"/>
      <c r="B29" s="49" t="s">
        <v>296</v>
      </c>
      <c r="C29" s="142" t="s">
        <v>272</v>
      </c>
      <c r="D29" s="64" t="s">
        <v>64</v>
      </c>
    </row>
    <row r="30" spans="1:4" ht="12.75">
      <c r="A30" s="213"/>
      <c r="B30" s="49" t="s">
        <v>297</v>
      </c>
      <c r="C30" s="142" t="s">
        <v>272</v>
      </c>
      <c r="D30" s="64" t="s">
        <v>64</v>
      </c>
    </row>
    <row r="31" spans="1:4" ht="31.5" customHeight="1">
      <c r="A31" s="213"/>
      <c r="B31" s="49" t="s">
        <v>298</v>
      </c>
      <c r="C31" s="142" t="s">
        <v>272</v>
      </c>
      <c r="D31" s="64" t="s">
        <v>64</v>
      </c>
    </row>
    <row r="32" spans="1:4" ht="12.75">
      <c r="A32" s="216"/>
      <c r="B32" s="49" t="s">
        <v>299</v>
      </c>
      <c r="C32" s="142" t="s">
        <v>272</v>
      </c>
      <c r="D32" s="64" t="s">
        <v>64</v>
      </c>
    </row>
    <row r="33" spans="1:4" ht="12.75">
      <c r="A33" s="213"/>
      <c r="B33" s="49" t="s">
        <v>300</v>
      </c>
      <c r="C33" s="142" t="s">
        <v>272</v>
      </c>
      <c r="D33" s="64" t="s">
        <v>64</v>
      </c>
    </row>
    <row r="34" spans="1:4" ht="31.5" customHeight="1">
      <c r="A34" s="213"/>
      <c r="B34" s="49" t="s">
        <v>301</v>
      </c>
      <c r="C34" s="142" t="s">
        <v>272</v>
      </c>
      <c r="D34" s="64" t="s">
        <v>64</v>
      </c>
    </row>
    <row r="35" spans="1:4" ht="12.75">
      <c r="A35" s="213"/>
      <c r="B35" s="49" t="s">
        <v>302</v>
      </c>
      <c r="C35" s="142" t="s">
        <v>272</v>
      </c>
      <c r="D35" s="64" t="s">
        <v>64</v>
      </c>
    </row>
    <row r="36" spans="1:4" ht="12.75">
      <c r="A36" s="216"/>
      <c r="B36" s="49" t="s">
        <v>303</v>
      </c>
      <c r="C36" s="142" t="s">
        <v>272</v>
      </c>
      <c r="D36" s="64" t="s">
        <v>64</v>
      </c>
    </row>
    <row r="37" spans="1:4" ht="12.75">
      <c r="A37" s="213"/>
      <c r="B37" s="49" t="s">
        <v>304</v>
      </c>
      <c r="C37" s="142" t="s">
        <v>272</v>
      </c>
      <c r="D37" s="64" t="s">
        <v>64</v>
      </c>
    </row>
    <row r="38" spans="1:4" ht="12.75">
      <c r="A38" s="213"/>
      <c r="B38" s="49" t="s">
        <v>305</v>
      </c>
      <c r="C38" s="142" t="s">
        <v>272</v>
      </c>
      <c r="D38" s="64" t="s">
        <v>64</v>
      </c>
    </row>
    <row r="39" spans="1:4" ht="45" customHeight="1">
      <c r="A39" s="213"/>
      <c r="B39" s="49" t="s">
        <v>306</v>
      </c>
      <c r="C39" s="217" t="s">
        <v>307</v>
      </c>
      <c r="D39" s="64" t="s">
        <v>64</v>
      </c>
    </row>
    <row r="40" spans="1:4" ht="12.75">
      <c r="A40" s="213"/>
      <c r="B40" s="148" t="s">
        <v>308</v>
      </c>
      <c r="C40" s="142" t="s">
        <v>272</v>
      </c>
      <c r="D40" s="64" t="s">
        <v>64</v>
      </c>
    </row>
    <row r="41" spans="1:4" ht="12.75">
      <c r="A41" s="213"/>
      <c r="B41" s="49" t="s">
        <v>309</v>
      </c>
      <c r="C41" s="142" t="s">
        <v>310</v>
      </c>
      <c r="D41" s="64" t="s">
        <v>64</v>
      </c>
    </row>
    <row r="42" spans="1:4" ht="12.75">
      <c r="A42" s="213"/>
      <c r="B42" s="49" t="s">
        <v>311</v>
      </c>
      <c r="C42" s="142" t="s">
        <v>272</v>
      </c>
      <c r="D42" s="64" t="s">
        <v>64</v>
      </c>
    </row>
    <row r="43" spans="1:4" ht="12.75">
      <c r="A43" s="216"/>
      <c r="B43" s="49" t="s">
        <v>312</v>
      </c>
      <c r="C43" s="142" t="s">
        <v>272</v>
      </c>
      <c r="D43" s="64" t="s">
        <v>64</v>
      </c>
    </row>
    <row r="44" spans="1:4" ht="12.75">
      <c r="A44" s="213"/>
      <c r="B44" s="49" t="s">
        <v>313</v>
      </c>
      <c r="C44" s="142" t="s">
        <v>272</v>
      </c>
      <c r="D44" s="64" t="s">
        <v>64</v>
      </c>
    </row>
    <row r="45" spans="1:4" ht="12.75">
      <c r="A45" s="213"/>
      <c r="B45" s="49" t="s">
        <v>314</v>
      </c>
      <c r="C45" s="142" t="s">
        <v>272</v>
      </c>
      <c r="D45" s="64" t="s">
        <v>64</v>
      </c>
    </row>
    <row r="46" spans="1:4" ht="12.75">
      <c r="A46" s="213"/>
      <c r="B46" s="148" t="s">
        <v>315</v>
      </c>
      <c r="C46" s="142" t="s">
        <v>272</v>
      </c>
      <c r="D46" s="64" t="s">
        <v>64</v>
      </c>
    </row>
    <row r="47" spans="1:4" ht="12.75">
      <c r="A47" s="213"/>
      <c r="B47" s="148" t="s">
        <v>316</v>
      </c>
      <c r="C47" s="142" t="s">
        <v>272</v>
      </c>
      <c r="D47" s="64" t="s">
        <v>64</v>
      </c>
    </row>
    <row r="48" spans="1:4" ht="12.75">
      <c r="A48" s="213"/>
      <c r="B48" s="49" t="s">
        <v>317</v>
      </c>
      <c r="C48" s="142" t="s">
        <v>272</v>
      </c>
      <c r="D48" s="64" t="s">
        <v>64</v>
      </c>
    </row>
    <row r="49" spans="1:4" ht="12.75">
      <c r="A49" s="213"/>
      <c r="B49" s="148" t="s">
        <v>318</v>
      </c>
      <c r="C49" s="142" t="s">
        <v>272</v>
      </c>
      <c r="D49" s="64" t="s">
        <v>64</v>
      </c>
    </row>
    <row r="50" spans="1:4" ht="12.75">
      <c r="A50" s="216"/>
      <c r="B50" s="49" t="s">
        <v>319</v>
      </c>
      <c r="C50" s="142" t="s">
        <v>272</v>
      </c>
      <c r="D50" s="64" t="s">
        <v>64</v>
      </c>
    </row>
    <row r="51" spans="1:4" ht="12.75">
      <c r="A51" s="213"/>
      <c r="B51" s="148" t="s">
        <v>320</v>
      </c>
      <c r="C51" s="142"/>
      <c r="D51" s="64" t="s">
        <v>64</v>
      </c>
    </row>
    <row r="52" spans="1:4" ht="12.75">
      <c r="A52" s="213"/>
      <c r="B52" s="148" t="s">
        <v>321</v>
      </c>
      <c r="C52" s="142" t="s">
        <v>322</v>
      </c>
      <c r="D52" s="64" t="s">
        <v>64</v>
      </c>
    </row>
    <row r="53" spans="1:4" ht="12.75">
      <c r="A53" s="216"/>
      <c r="B53" s="148" t="s">
        <v>323</v>
      </c>
      <c r="C53" s="142" t="s">
        <v>322</v>
      </c>
      <c r="D53" s="64" t="s">
        <v>64</v>
      </c>
    </row>
    <row r="54" spans="1:4" ht="12.75">
      <c r="A54" s="216"/>
      <c r="B54" s="148" t="s">
        <v>324</v>
      </c>
      <c r="C54" s="142" t="s">
        <v>322</v>
      </c>
      <c r="D54" s="64" t="s">
        <v>64</v>
      </c>
    </row>
    <row r="55" spans="1:4" ht="12.75">
      <c r="A55" s="213"/>
      <c r="B55" s="148" t="s">
        <v>325</v>
      </c>
      <c r="C55" s="142" t="s">
        <v>326</v>
      </c>
      <c r="D55" s="64" t="s">
        <v>64</v>
      </c>
    </row>
    <row r="56" spans="1:4" ht="12.75">
      <c r="A56" s="213"/>
      <c r="B56" s="148" t="s">
        <v>327</v>
      </c>
      <c r="C56" s="142"/>
      <c r="D56" s="64" t="s">
        <v>64</v>
      </c>
    </row>
    <row r="57" spans="1:4" ht="12.75">
      <c r="A57" s="213"/>
      <c r="B57" s="148" t="s">
        <v>328</v>
      </c>
      <c r="C57" s="142" t="s">
        <v>322</v>
      </c>
      <c r="D57" s="64" t="s">
        <v>64</v>
      </c>
    </row>
    <row r="58" spans="1:4" ht="12.75">
      <c r="A58" s="213"/>
      <c r="B58" s="148" t="s">
        <v>323</v>
      </c>
      <c r="C58" s="142" t="s">
        <v>322</v>
      </c>
      <c r="D58" s="64" t="s">
        <v>64</v>
      </c>
    </row>
    <row r="59" spans="1:4" ht="12.75">
      <c r="A59" s="213"/>
      <c r="B59" s="148" t="s">
        <v>271</v>
      </c>
      <c r="C59" s="142"/>
      <c r="D59" s="64" t="s">
        <v>64</v>
      </c>
    </row>
    <row r="60" spans="1:4" ht="12.75">
      <c r="A60" s="213"/>
      <c r="B60" s="148" t="s">
        <v>329</v>
      </c>
      <c r="C60" s="142" t="s">
        <v>272</v>
      </c>
      <c r="D60" s="64" t="s">
        <v>64</v>
      </c>
    </row>
    <row r="61" spans="1:4" ht="12.75">
      <c r="A61" s="213"/>
      <c r="B61" s="148" t="s">
        <v>330</v>
      </c>
      <c r="C61" s="142" t="s">
        <v>272</v>
      </c>
      <c r="D61" s="64" t="s">
        <v>64</v>
      </c>
    </row>
    <row r="62" spans="1:4" ht="12.75">
      <c r="A62" s="213"/>
      <c r="B62" s="148" t="s">
        <v>331</v>
      </c>
      <c r="C62" s="142" t="s">
        <v>272</v>
      </c>
      <c r="D62" s="64" t="s">
        <v>64</v>
      </c>
    </row>
    <row r="63" spans="1:4" ht="12.75">
      <c r="A63" s="213"/>
      <c r="B63" s="148" t="s">
        <v>332</v>
      </c>
      <c r="C63" s="142" t="s">
        <v>272</v>
      </c>
      <c r="D63" s="64" t="s">
        <v>64</v>
      </c>
    </row>
    <row r="64" spans="1:4" ht="14.25" customHeight="1">
      <c r="A64" s="213"/>
      <c r="B64" s="49" t="s">
        <v>333</v>
      </c>
      <c r="C64" s="142" t="s">
        <v>272</v>
      </c>
      <c r="D64" s="64" t="s">
        <v>64</v>
      </c>
    </row>
    <row r="65" spans="1:4" ht="12.75">
      <c r="A65" s="213"/>
      <c r="B65" s="49" t="s">
        <v>334</v>
      </c>
      <c r="C65" s="142" t="s">
        <v>272</v>
      </c>
      <c r="D65" s="64" t="s">
        <v>64</v>
      </c>
    </row>
    <row r="66" spans="1:4" ht="12.75">
      <c r="A66" s="213"/>
      <c r="B66" s="49" t="s">
        <v>335</v>
      </c>
      <c r="C66" s="142" t="s">
        <v>272</v>
      </c>
      <c r="D66" s="64" t="s">
        <v>64</v>
      </c>
    </row>
    <row r="67" spans="1:4" ht="12.75">
      <c r="A67" s="218"/>
      <c r="B67" s="212" t="s">
        <v>336</v>
      </c>
      <c r="C67" s="212"/>
      <c r="D67" s="212"/>
    </row>
    <row r="68" spans="1:4" ht="14.25" customHeight="1">
      <c r="A68" s="213"/>
      <c r="B68" s="148" t="s">
        <v>337</v>
      </c>
      <c r="C68" s="142" t="s">
        <v>272</v>
      </c>
      <c r="D68" s="64">
        <v>23</v>
      </c>
    </row>
    <row r="69" spans="1:4" ht="12.75">
      <c r="A69" s="213"/>
      <c r="B69" s="148" t="s">
        <v>338</v>
      </c>
      <c r="C69" s="142" t="s">
        <v>274</v>
      </c>
      <c r="D69" s="64">
        <v>306.4</v>
      </c>
    </row>
    <row r="70" spans="1:4" ht="12.75">
      <c r="A70" s="213"/>
      <c r="B70" s="148" t="s">
        <v>83</v>
      </c>
      <c r="C70" s="142"/>
      <c r="D70" s="64"/>
    </row>
    <row r="71" spans="1:4" ht="12.75">
      <c r="A71" s="213"/>
      <c r="B71" s="148" t="s">
        <v>339</v>
      </c>
      <c r="C71" s="142" t="s">
        <v>272</v>
      </c>
      <c r="D71" s="64">
        <v>1</v>
      </c>
    </row>
    <row r="72" spans="1:4" ht="12.75">
      <c r="A72" s="213"/>
      <c r="B72" s="148" t="s">
        <v>338</v>
      </c>
      <c r="C72" s="142" t="s">
        <v>274</v>
      </c>
      <c r="D72" s="64">
        <v>5.9</v>
      </c>
    </row>
    <row r="73" spans="1:4" ht="12.75">
      <c r="A73" s="213"/>
      <c r="B73" s="148" t="s">
        <v>340</v>
      </c>
      <c r="C73" s="142" t="s">
        <v>272</v>
      </c>
      <c r="D73" s="64" t="s">
        <v>64</v>
      </c>
    </row>
    <row r="74" spans="1:4" ht="12.75">
      <c r="A74" s="213"/>
      <c r="B74" s="148" t="s">
        <v>341</v>
      </c>
      <c r="C74" s="142" t="s">
        <v>274</v>
      </c>
      <c r="D74" s="64" t="s">
        <v>64</v>
      </c>
    </row>
    <row r="75" spans="1:4" ht="12.75">
      <c r="A75" s="213"/>
      <c r="B75" s="148" t="s">
        <v>342</v>
      </c>
      <c r="C75" s="142" t="s">
        <v>272</v>
      </c>
      <c r="D75" s="64" t="s">
        <v>64</v>
      </c>
    </row>
    <row r="76" spans="1:4" ht="12.75">
      <c r="A76" s="213"/>
      <c r="B76" s="148" t="s">
        <v>343</v>
      </c>
      <c r="C76" s="142" t="s">
        <v>274</v>
      </c>
      <c r="D76" s="64" t="s">
        <v>64</v>
      </c>
    </row>
    <row r="77" spans="1:4" ht="12.75">
      <c r="A77" s="213"/>
      <c r="B77" s="148" t="s">
        <v>344</v>
      </c>
      <c r="C77" s="142" t="s">
        <v>272</v>
      </c>
      <c r="D77" s="64">
        <v>11</v>
      </c>
    </row>
    <row r="78" spans="1:4" ht="12.75">
      <c r="A78" s="213"/>
      <c r="B78" s="148" t="s">
        <v>338</v>
      </c>
      <c r="C78" s="142" t="s">
        <v>274</v>
      </c>
      <c r="D78" s="64">
        <v>186.8</v>
      </c>
    </row>
    <row r="79" spans="1:4" ht="12.75">
      <c r="A79" s="219"/>
      <c r="B79" s="176" t="s">
        <v>345</v>
      </c>
      <c r="C79" s="169"/>
      <c r="D79" s="169" t="s">
        <v>64</v>
      </c>
    </row>
    <row r="80" spans="1:4" ht="12.75">
      <c r="A80" s="213"/>
      <c r="B80" s="148" t="s">
        <v>346</v>
      </c>
      <c r="C80" s="142" t="s">
        <v>272</v>
      </c>
      <c r="D80" s="64" t="s">
        <v>64</v>
      </c>
    </row>
    <row r="81" spans="1:4" ht="12.75">
      <c r="A81" s="213"/>
      <c r="B81" s="148" t="s">
        <v>338</v>
      </c>
      <c r="C81" s="142" t="s">
        <v>274</v>
      </c>
      <c r="D81" s="64" t="s">
        <v>64</v>
      </c>
    </row>
    <row r="82" spans="1:4" ht="12.75">
      <c r="A82" s="213"/>
      <c r="B82" s="148" t="s">
        <v>347</v>
      </c>
      <c r="C82" s="142" t="s">
        <v>272</v>
      </c>
      <c r="D82" s="64" t="s">
        <v>64</v>
      </c>
    </row>
    <row r="83" spans="1:4" ht="12.75">
      <c r="A83" s="213"/>
      <c r="B83" s="148" t="s">
        <v>338</v>
      </c>
      <c r="C83" s="142" t="s">
        <v>274</v>
      </c>
      <c r="D83" s="64" t="s">
        <v>64</v>
      </c>
    </row>
    <row r="84" spans="1:4" s="220" customFormat="1" ht="12.75">
      <c r="A84" s="213"/>
      <c r="B84" s="148" t="s">
        <v>348</v>
      </c>
      <c r="C84" s="142" t="s">
        <v>272</v>
      </c>
      <c r="D84" s="64">
        <v>11</v>
      </c>
    </row>
    <row r="85" spans="1:4" ht="12.75">
      <c r="A85" s="213"/>
      <c r="B85" s="148" t="s">
        <v>338</v>
      </c>
      <c r="C85" s="142" t="s">
        <v>274</v>
      </c>
      <c r="D85" s="64">
        <v>113.9</v>
      </c>
    </row>
    <row r="86" spans="1:4" ht="12.75">
      <c r="A86" s="218"/>
      <c r="B86" s="212" t="s">
        <v>349</v>
      </c>
      <c r="C86" s="212"/>
      <c r="D86" s="212"/>
    </row>
    <row r="87" spans="1:4" ht="12.75">
      <c r="A87" s="213"/>
      <c r="B87" s="148" t="s">
        <v>350</v>
      </c>
      <c r="C87" s="142" t="s">
        <v>272</v>
      </c>
      <c r="D87" s="64" t="s">
        <v>64</v>
      </c>
    </row>
    <row r="88" spans="1:4" ht="12.75">
      <c r="A88" s="213"/>
      <c r="B88" s="148" t="s">
        <v>338</v>
      </c>
      <c r="C88" s="142" t="s">
        <v>274</v>
      </c>
      <c r="D88" s="214" t="s">
        <v>64</v>
      </c>
    </row>
    <row r="89" spans="1:4" ht="12.75">
      <c r="A89" s="180"/>
      <c r="B89" s="221"/>
      <c r="C89" s="180"/>
      <c r="D89" s="180"/>
    </row>
    <row r="91" s="222" customFormat="1" ht="12.75">
      <c r="A91" s="222" t="s">
        <v>351</v>
      </c>
    </row>
    <row r="92" s="222" customFormat="1" ht="12.75">
      <c r="A92" s="222" t="s">
        <v>352</v>
      </c>
    </row>
    <row r="93" s="222" customFormat="1" ht="12.75">
      <c r="A93" s="222" t="s">
        <v>353</v>
      </c>
    </row>
    <row r="94" s="222" customFormat="1" ht="12.75">
      <c r="A94" s="222" t="s">
        <v>354</v>
      </c>
    </row>
    <row r="95" s="222" customFormat="1" ht="12.75">
      <c r="A95" s="222" t="s">
        <v>355</v>
      </c>
    </row>
    <row r="96" s="222" customFormat="1" ht="12.75">
      <c r="A96" s="222" t="s">
        <v>356</v>
      </c>
    </row>
    <row r="97" s="222" customFormat="1" ht="12.75"/>
    <row r="98" s="222" customFormat="1" ht="12.75"/>
  </sheetData>
  <sheetProtection selectLockedCells="1" selectUnlockedCells="1"/>
  <mergeCells count="3">
    <mergeCell ref="A1:D1"/>
    <mergeCell ref="A2:D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4"/>
  <sheetViews>
    <sheetView workbookViewId="0" topLeftCell="A4">
      <selection activeCell="D8" activeCellId="1" sqref="A74:J74 D8"/>
    </sheetView>
  </sheetViews>
  <sheetFormatPr defaultColWidth="9.00390625" defaultRowHeight="12.75"/>
  <cols>
    <col min="1" max="1" width="7.375" style="0" customWidth="1"/>
    <col min="2" max="2" width="56.375" style="0" customWidth="1"/>
    <col min="3" max="3" width="16.50390625" style="0" customWidth="1"/>
    <col min="4" max="4" width="17.375" style="0" customWidth="1"/>
  </cols>
  <sheetData>
    <row r="1" spans="1:4" ht="12.75">
      <c r="A1" s="18" t="s">
        <v>357</v>
      </c>
      <c r="B1" s="18"/>
      <c r="C1" s="18"/>
      <c r="D1" s="18"/>
    </row>
    <row r="2" spans="1:5" ht="12.75">
      <c r="A2" s="87" t="s">
        <v>24</v>
      </c>
      <c r="B2" s="87"/>
      <c r="C2" s="87"/>
      <c r="D2" s="87"/>
      <c r="E2" s="87"/>
    </row>
    <row r="3" spans="1:4" ht="12.75">
      <c r="A3" s="89" t="s">
        <v>25</v>
      </c>
      <c r="B3" s="89"/>
      <c r="C3" s="89"/>
      <c r="D3" s="89"/>
    </row>
    <row r="4" spans="1:4" ht="12.75">
      <c r="A4" s="17"/>
      <c r="B4" s="17"/>
      <c r="C4" s="17"/>
      <c r="D4" s="17"/>
    </row>
    <row r="5" spans="1:4" ht="12.75">
      <c r="A5" s="223" t="s">
        <v>200</v>
      </c>
      <c r="B5" s="223" t="s">
        <v>201</v>
      </c>
      <c r="C5" s="223" t="s">
        <v>268</v>
      </c>
      <c r="D5" s="202" t="s">
        <v>245</v>
      </c>
    </row>
    <row r="6" spans="1:4" ht="12.75">
      <c r="A6" s="212"/>
      <c r="B6" s="212" t="s">
        <v>358</v>
      </c>
      <c r="C6" s="212"/>
      <c r="D6" s="212"/>
    </row>
    <row r="7" spans="1:4" ht="12.75">
      <c r="A7" s="80"/>
      <c r="B7" s="42" t="s">
        <v>359</v>
      </c>
      <c r="C7" s="80" t="s">
        <v>360</v>
      </c>
      <c r="D7" s="53">
        <v>52</v>
      </c>
    </row>
    <row r="8" spans="1:4" ht="12.75">
      <c r="A8" s="80"/>
      <c r="B8" s="42" t="s">
        <v>361</v>
      </c>
      <c r="C8" s="80" t="s">
        <v>360</v>
      </c>
      <c r="D8" s="53">
        <v>2</v>
      </c>
    </row>
    <row r="9" spans="1:4" ht="12.75">
      <c r="A9" s="80"/>
      <c r="B9" s="42" t="s">
        <v>362</v>
      </c>
      <c r="C9" s="80" t="s">
        <v>360</v>
      </c>
      <c r="D9" s="53">
        <v>5</v>
      </c>
    </row>
    <row r="10" spans="1:4" ht="12.75">
      <c r="A10" s="80"/>
      <c r="B10" s="42" t="s">
        <v>363</v>
      </c>
      <c r="C10" s="80" t="s">
        <v>364</v>
      </c>
      <c r="D10" s="53">
        <v>1</v>
      </c>
    </row>
    <row r="11" spans="1:4" ht="12.75">
      <c r="A11" s="80"/>
      <c r="B11" s="42" t="s">
        <v>365</v>
      </c>
      <c r="C11" s="80" t="s">
        <v>360</v>
      </c>
      <c r="D11" s="53">
        <v>36</v>
      </c>
    </row>
    <row r="12" spans="1:4" ht="12.75">
      <c r="A12" s="80"/>
      <c r="B12" s="42" t="s">
        <v>366</v>
      </c>
      <c r="C12" s="80" t="s">
        <v>364</v>
      </c>
      <c r="D12" s="53">
        <v>1</v>
      </c>
    </row>
    <row r="13" spans="1:4" ht="12.75">
      <c r="A13" s="80"/>
      <c r="B13" s="207" t="s">
        <v>367</v>
      </c>
      <c r="C13" s="224" t="s">
        <v>368</v>
      </c>
      <c r="D13" s="53">
        <v>1</v>
      </c>
    </row>
    <row r="14" spans="1:4" ht="12.75">
      <c r="A14" s="80"/>
      <c r="B14" s="42" t="s">
        <v>369</v>
      </c>
      <c r="C14" s="80" t="s">
        <v>370</v>
      </c>
      <c r="D14" s="53">
        <v>5</v>
      </c>
    </row>
    <row r="15" spans="1:4" ht="12.75">
      <c r="A15" s="80"/>
      <c r="B15" s="42" t="s">
        <v>371</v>
      </c>
      <c r="C15" s="80" t="s">
        <v>360</v>
      </c>
      <c r="D15" s="53">
        <v>4</v>
      </c>
    </row>
    <row r="16" spans="1:4" ht="12.75">
      <c r="A16" s="212"/>
      <c r="B16" s="212" t="s">
        <v>372</v>
      </c>
      <c r="C16" s="212"/>
      <c r="D16" s="212"/>
    </row>
    <row r="17" spans="1:4" ht="12.75">
      <c r="A17" s="80"/>
      <c r="B17" s="42" t="s">
        <v>373</v>
      </c>
      <c r="C17" s="80" t="s">
        <v>360</v>
      </c>
      <c r="D17" s="53">
        <v>1</v>
      </c>
    </row>
    <row r="18" spans="1:4" ht="12.75">
      <c r="A18" s="80"/>
      <c r="B18" s="42" t="s">
        <v>374</v>
      </c>
      <c r="C18" s="80" t="s">
        <v>360</v>
      </c>
      <c r="D18" s="72">
        <v>4</v>
      </c>
    </row>
    <row r="19" spans="1:4" ht="12.75">
      <c r="A19" s="80"/>
      <c r="B19" s="42" t="s">
        <v>375</v>
      </c>
      <c r="C19" s="80" t="s">
        <v>360</v>
      </c>
      <c r="D19" s="53">
        <v>0</v>
      </c>
    </row>
    <row r="20" spans="1:4" ht="12.75">
      <c r="A20" s="80"/>
      <c r="B20" s="42" t="s">
        <v>376</v>
      </c>
      <c r="C20" s="80" t="s">
        <v>360</v>
      </c>
      <c r="D20" s="53">
        <v>0</v>
      </c>
    </row>
    <row r="21" spans="1:4" ht="12.75">
      <c r="A21" s="225"/>
      <c r="B21" s="226"/>
      <c r="C21" s="80" t="s">
        <v>360</v>
      </c>
      <c r="D21" s="53"/>
    </row>
    <row r="22" spans="1:4" ht="12.75">
      <c r="A22" s="212"/>
      <c r="B22" s="212" t="s">
        <v>377</v>
      </c>
      <c r="C22" s="212"/>
      <c r="D22" s="212"/>
    </row>
    <row r="23" spans="1:4" ht="12.75">
      <c r="A23" s="80"/>
      <c r="B23" s="42" t="s">
        <v>89</v>
      </c>
      <c r="C23" s="80" t="s">
        <v>360</v>
      </c>
      <c r="D23" s="53">
        <v>0</v>
      </c>
    </row>
    <row r="24" spans="1:4" ht="12.75">
      <c r="A24" s="227"/>
      <c r="B24" s="60" t="s">
        <v>378</v>
      </c>
      <c r="C24" s="227"/>
      <c r="D24" s="227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Q29"/>
  <sheetViews>
    <sheetView workbookViewId="0" topLeftCell="A1">
      <pane xSplit="2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17" activeCellId="1" sqref="A74:J74 Q17"/>
    </sheetView>
  </sheetViews>
  <sheetFormatPr defaultColWidth="9.00390625" defaultRowHeight="12.75"/>
  <cols>
    <col min="1" max="1" width="4.00390625" style="228" customWidth="1"/>
    <col min="2" max="2" width="26.50390625" style="228" customWidth="1"/>
    <col min="3" max="3" width="9.375" style="228" customWidth="1"/>
    <col min="4" max="9" width="13.50390625" style="228" customWidth="1"/>
    <col min="10" max="10" width="10.50390625" style="228" customWidth="1"/>
    <col min="11" max="11" width="14.00390625" style="228" customWidth="1"/>
    <col min="12" max="12" width="10.50390625" style="228" customWidth="1"/>
    <col min="13" max="13" width="14.625" style="228" customWidth="1"/>
    <col min="14" max="14" width="10.50390625" style="228" customWidth="1"/>
    <col min="15" max="15" width="14.50390625" style="228" customWidth="1"/>
    <col min="16" max="17" width="13.50390625" style="228" customWidth="1"/>
    <col min="18" max="16384" width="9.375" style="228" customWidth="1"/>
  </cols>
  <sheetData>
    <row r="1" spans="1:4" ht="12.75">
      <c r="A1" s="18" t="s">
        <v>17</v>
      </c>
      <c r="B1" s="18"/>
      <c r="C1" s="18"/>
      <c r="D1" s="18"/>
    </row>
    <row r="2" spans="1:6" ht="12.75">
      <c r="A2" s="87" t="s">
        <v>24</v>
      </c>
      <c r="B2" s="87"/>
      <c r="C2" s="87"/>
      <c r="D2" s="87"/>
      <c r="E2" s="87"/>
      <c r="F2" s="87"/>
    </row>
    <row r="3" spans="1:4" ht="12.75">
      <c r="A3" s="20" t="s">
        <v>25</v>
      </c>
      <c r="B3" s="20"/>
      <c r="C3" s="20"/>
      <c r="D3" s="20"/>
    </row>
    <row r="4" spans="1:4" ht="12.75">
      <c r="A4" s="17"/>
      <c r="B4" s="17"/>
      <c r="C4" s="17"/>
      <c r="D4" s="17"/>
    </row>
    <row r="5" spans="1:17" s="199" customFormat="1" ht="51.75" customHeight="1">
      <c r="A5" s="162" t="s">
        <v>200</v>
      </c>
      <c r="B5" s="162" t="s">
        <v>201</v>
      </c>
      <c r="C5" s="162" t="s">
        <v>379</v>
      </c>
      <c r="D5" s="162" t="s">
        <v>380</v>
      </c>
      <c r="E5" s="162" t="s">
        <v>381</v>
      </c>
      <c r="F5" s="162" t="s">
        <v>382</v>
      </c>
      <c r="G5" s="162" t="s">
        <v>383</v>
      </c>
      <c r="H5" s="75" t="s">
        <v>384</v>
      </c>
      <c r="I5" s="162" t="s">
        <v>385</v>
      </c>
      <c r="J5" s="75" t="s">
        <v>386</v>
      </c>
      <c r="K5" s="162" t="s">
        <v>387</v>
      </c>
      <c r="L5" s="75" t="s">
        <v>388</v>
      </c>
      <c r="M5" s="162" t="s">
        <v>389</v>
      </c>
      <c r="N5" s="75" t="s">
        <v>390</v>
      </c>
      <c r="O5" s="162" t="s">
        <v>391</v>
      </c>
      <c r="P5" s="229" t="s">
        <v>392</v>
      </c>
      <c r="Q5" s="162" t="s">
        <v>393</v>
      </c>
    </row>
    <row r="6" spans="1:17" s="17" customFormat="1" ht="19.5" customHeight="1">
      <c r="A6" s="212"/>
      <c r="B6" s="212" t="s">
        <v>394</v>
      </c>
      <c r="C6" s="212"/>
      <c r="D6" s="212"/>
      <c r="E6" s="212"/>
      <c r="F6" s="212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232"/>
    </row>
    <row r="7" spans="1:17" s="17" customFormat="1" ht="12.75">
      <c r="A7" s="80">
        <v>1</v>
      </c>
      <c r="B7" s="233" t="s">
        <v>395</v>
      </c>
      <c r="C7" s="80" t="s">
        <v>396</v>
      </c>
      <c r="D7" s="234">
        <v>31.77</v>
      </c>
      <c r="E7" s="234">
        <v>236.6</v>
      </c>
      <c r="F7" s="234">
        <v>204.25</v>
      </c>
      <c r="G7" s="235">
        <v>149.87</v>
      </c>
      <c r="H7" s="235">
        <v>350</v>
      </c>
      <c r="I7" s="236">
        <v>347.79</v>
      </c>
      <c r="J7" s="235">
        <f>96.53+56.57</f>
        <v>153.1</v>
      </c>
      <c r="K7" s="236">
        <v>153.1</v>
      </c>
      <c r="L7" s="235">
        <f>96.53+56.57</f>
        <v>153.1</v>
      </c>
      <c r="M7" s="236">
        <v>221.9</v>
      </c>
      <c r="N7" s="235">
        <v>221.9</v>
      </c>
      <c r="O7" s="235">
        <v>275.65</v>
      </c>
      <c r="P7" s="237">
        <v>348</v>
      </c>
      <c r="Q7" s="236">
        <v>203.54</v>
      </c>
    </row>
    <row r="8" spans="1:17" s="17" customFormat="1" ht="12.75">
      <c r="A8" s="80">
        <v>2</v>
      </c>
      <c r="B8" s="233" t="s">
        <v>397</v>
      </c>
      <c r="C8" s="80" t="s">
        <v>396</v>
      </c>
      <c r="D8" s="234">
        <v>31.77</v>
      </c>
      <c r="E8" s="234">
        <v>236.6</v>
      </c>
      <c r="F8" s="234">
        <v>204.25</v>
      </c>
      <c r="G8" s="236">
        <v>149.87</v>
      </c>
      <c r="H8" s="236">
        <v>350</v>
      </c>
      <c r="I8" s="236">
        <v>347.79</v>
      </c>
      <c r="J8" s="236">
        <f>+J7</f>
        <v>153.1</v>
      </c>
      <c r="K8" s="236">
        <v>153.1</v>
      </c>
      <c r="L8" s="236">
        <f>+L7</f>
        <v>153.1</v>
      </c>
      <c r="M8" s="236">
        <v>186.54</v>
      </c>
      <c r="N8" s="236">
        <v>186.54</v>
      </c>
      <c r="O8" s="236">
        <v>247.26</v>
      </c>
      <c r="P8" s="237">
        <v>348</v>
      </c>
      <c r="Q8" s="236">
        <v>203.54</v>
      </c>
    </row>
    <row r="9" spans="1:17" s="17" customFormat="1" ht="12.75">
      <c r="A9" s="80">
        <v>3</v>
      </c>
      <c r="B9" s="233" t="s">
        <v>398</v>
      </c>
      <c r="C9" s="80" t="s">
        <v>399</v>
      </c>
      <c r="D9" s="234">
        <v>0</v>
      </c>
      <c r="E9" s="234">
        <v>0</v>
      </c>
      <c r="F9" s="234">
        <v>0</v>
      </c>
      <c r="G9" s="236">
        <v>0</v>
      </c>
      <c r="H9" s="238">
        <v>170</v>
      </c>
      <c r="I9" s="236">
        <v>2.89</v>
      </c>
      <c r="J9" s="238">
        <v>152.43</v>
      </c>
      <c r="K9" s="235">
        <v>2.42</v>
      </c>
      <c r="L9" s="238">
        <v>164.9</v>
      </c>
      <c r="M9" s="235">
        <v>1.42</v>
      </c>
      <c r="N9" s="238">
        <v>164.9</v>
      </c>
      <c r="O9" s="238">
        <v>1.5</v>
      </c>
      <c r="P9" s="239">
        <v>164.9</v>
      </c>
      <c r="Q9" s="236">
        <v>2.35</v>
      </c>
    </row>
    <row r="10" spans="1:17" s="17" customFormat="1" ht="12.75">
      <c r="A10" s="80">
        <v>4</v>
      </c>
      <c r="B10" s="233" t="s">
        <v>400</v>
      </c>
      <c r="C10" s="80" t="s">
        <v>399</v>
      </c>
      <c r="D10" s="234">
        <v>26.1</v>
      </c>
      <c r="E10" s="234">
        <v>154.8</v>
      </c>
      <c r="F10" s="234">
        <v>133.06</v>
      </c>
      <c r="G10" s="236">
        <v>172.09</v>
      </c>
      <c r="H10" s="238"/>
      <c r="I10" s="236">
        <v>128.51</v>
      </c>
      <c r="J10" s="238"/>
      <c r="K10" s="236">
        <v>128.792</v>
      </c>
      <c r="L10" s="238"/>
      <c r="M10" s="236">
        <v>105.73</v>
      </c>
      <c r="N10" s="238"/>
      <c r="O10" s="238">
        <v>126.47</v>
      </c>
      <c r="P10" s="239"/>
      <c r="Q10" s="236">
        <v>121.21</v>
      </c>
    </row>
    <row r="11" spans="1:17" s="17" customFormat="1" ht="12.75">
      <c r="A11" s="80">
        <v>5</v>
      </c>
      <c r="B11" s="233" t="s">
        <v>401</v>
      </c>
      <c r="C11" s="80" t="s">
        <v>402</v>
      </c>
      <c r="D11" s="234">
        <v>429</v>
      </c>
      <c r="E11" s="234">
        <v>48597</v>
      </c>
      <c r="F11" s="234">
        <v>54550</v>
      </c>
      <c r="G11" s="236">
        <v>39793</v>
      </c>
      <c r="H11" s="236">
        <v>50000</v>
      </c>
      <c r="I11" s="236">
        <v>46902.65</v>
      </c>
      <c r="J11" s="236">
        <v>48000</v>
      </c>
      <c r="K11" s="236">
        <v>38291.81</v>
      </c>
      <c r="L11" s="236">
        <v>48500</v>
      </c>
      <c r="M11" s="236">
        <v>40453.19</v>
      </c>
      <c r="N11" s="236">
        <v>48500</v>
      </c>
      <c r="O11" s="236">
        <v>42613.48</v>
      </c>
      <c r="P11" s="237">
        <v>48500</v>
      </c>
      <c r="Q11" s="236">
        <v>36162</v>
      </c>
    </row>
    <row r="12" spans="1:17" s="17" customFormat="1" ht="12.75">
      <c r="A12" s="212"/>
      <c r="B12" s="218" t="s">
        <v>403</v>
      </c>
      <c r="C12" s="212"/>
      <c r="D12" s="240"/>
      <c r="E12" s="240"/>
      <c r="F12" s="240"/>
      <c r="G12" s="232"/>
      <c r="H12" s="232"/>
      <c r="I12" s="232"/>
      <c r="J12" s="232"/>
      <c r="K12" s="232"/>
      <c r="L12" s="232"/>
      <c r="M12" s="232"/>
      <c r="N12" s="232"/>
      <c r="O12" s="232"/>
      <c r="P12" s="241"/>
      <c r="Q12" s="232"/>
    </row>
    <row r="13" spans="1:17" s="17" customFormat="1" ht="12.75">
      <c r="A13" s="80">
        <v>1</v>
      </c>
      <c r="B13" s="233" t="s">
        <v>395</v>
      </c>
      <c r="C13" s="80" t="s">
        <v>404</v>
      </c>
      <c r="D13" s="234">
        <f>(10.89+9.45+9.22)/3</f>
        <v>9.853333333333333</v>
      </c>
      <c r="E13" s="234">
        <f>(10.4+18.81+15.94)/3</f>
        <v>15.049999999999999</v>
      </c>
      <c r="F13" s="234">
        <v>13.74</v>
      </c>
      <c r="G13" s="235">
        <f>2648.66/G7</f>
        <v>17.673049976646425</v>
      </c>
      <c r="H13" s="235">
        <f>(14.08+(17.91+18.45/2))/2</f>
        <v>20.607499999999998</v>
      </c>
      <c r="I13" s="236">
        <f>5412.53/I7</f>
        <v>15.562638373731273</v>
      </c>
      <c r="J13" s="235">
        <v>20.65</v>
      </c>
      <c r="K13" s="236">
        <f>2983.66/K7</f>
        <v>19.488308295231874</v>
      </c>
      <c r="L13" s="235">
        <v>20.65</v>
      </c>
      <c r="M13" s="236">
        <f>5391.38/M7</f>
        <v>24.29643983776476</v>
      </c>
      <c r="N13" s="235">
        <v>24.3</v>
      </c>
      <c r="O13" s="235">
        <v>29.97</v>
      </c>
      <c r="P13" s="242">
        <v>29.97</v>
      </c>
      <c r="Q13" s="236">
        <v>32.58</v>
      </c>
    </row>
    <row r="14" spans="1:17" s="17" customFormat="1" ht="12.75">
      <c r="A14" s="80">
        <v>2</v>
      </c>
      <c r="B14" s="233" t="s">
        <v>397</v>
      </c>
      <c r="C14" s="80" t="s">
        <v>404</v>
      </c>
      <c r="D14" s="234">
        <f>(10.28+7.64+8.71)/3</f>
        <v>8.876666666666667</v>
      </c>
      <c r="E14" s="234">
        <f>(8.11+12.24+10.37)/3</f>
        <v>10.24</v>
      </c>
      <c r="F14" s="234">
        <v>10.27</v>
      </c>
      <c r="G14" s="235">
        <f>1799.9/G8</f>
        <v>12.009741776206045</v>
      </c>
      <c r="H14" s="236">
        <f>(10.82+(11.48+12.16)/2)/2</f>
        <v>11.32</v>
      </c>
      <c r="I14" s="236">
        <f>3894.17/I8</f>
        <v>11.196900428419449</v>
      </c>
      <c r="J14" s="235">
        <v>12.3</v>
      </c>
      <c r="K14" s="236">
        <f>1861.25/K8</f>
        <v>12.157086871325932</v>
      </c>
      <c r="L14" s="235">
        <v>12.3</v>
      </c>
      <c r="M14" s="236">
        <f>3451.67/M8</f>
        <v>18.50364533076016</v>
      </c>
      <c r="N14" s="235">
        <v>18.5</v>
      </c>
      <c r="O14" s="235">
        <v>23.69</v>
      </c>
      <c r="P14" s="242">
        <v>23.69</v>
      </c>
      <c r="Q14" s="236">
        <v>26.1</v>
      </c>
    </row>
    <row r="15" spans="1:17" s="17" customFormat="1" ht="12.75">
      <c r="A15" s="80">
        <v>3</v>
      </c>
      <c r="B15" s="233" t="s">
        <v>398</v>
      </c>
      <c r="C15" s="80" t="s">
        <v>404</v>
      </c>
      <c r="D15" s="234">
        <v>0</v>
      </c>
      <c r="E15" s="234">
        <v>0</v>
      </c>
      <c r="F15" s="234">
        <v>0</v>
      </c>
      <c r="G15" s="236">
        <v>0</v>
      </c>
      <c r="H15" s="236">
        <f>(+(2627.695+3024.482)/2+(1992.49+2293.35)/2+2926.164)/3</f>
        <v>2631.724166666667</v>
      </c>
      <c r="I15" s="236">
        <f>8109.07/I9</f>
        <v>2805.9065743944634</v>
      </c>
      <c r="J15" s="235">
        <v>2725.27</v>
      </c>
      <c r="K15" s="235">
        <v>2813.91</v>
      </c>
      <c r="L15" s="235">
        <v>2725.27</v>
      </c>
      <c r="M15" s="235">
        <f>4907.58/M9</f>
        <v>3456.042253521127</v>
      </c>
      <c r="N15" s="235">
        <v>4488.41</v>
      </c>
      <c r="O15" s="235">
        <v>4745.49</v>
      </c>
      <c r="P15" s="242">
        <v>4745.49</v>
      </c>
      <c r="Q15" s="236">
        <v>4500.21</v>
      </c>
    </row>
    <row r="16" spans="1:17" s="17" customFormat="1" ht="12.75">
      <c r="A16" s="80">
        <v>4</v>
      </c>
      <c r="B16" s="233" t="s">
        <v>400</v>
      </c>
      <c r="C16" s="80" t="s">
        <v>404</v>
      </c>
      <c r="D16" s="234">
        <v>1826.87</v>
      </c>
      <c r="E16" s="234">
        <v>2016.97</v>
      </c>
      <c r="F16" s="234">
        <v>2229.62</v>
      </c>
      <c r="G16" s="236">
        <f>404834.02/G10</f>
        <v>2352.4552269161486</v>
      </c>
      <c r="H16" s="236">
        <f>(+(2627.695+3024.482)/2+(2381.49+2741.09)/2+(1992.49+2293.35)/2+2926.164)/4</f>
        <v>2614.115625</v>
      </c>
      <c r="I16" s="236">
        <f>345502.32/I10</f>
        <v>2688.5247840634975</v>
      </c>
      <c r="J16" s="235">
        <v>2725.27</v>
      </c>
      <c r="K16" s="236">
        <f>373220.31/K10</f>
        <v>2897.8532051680227</v>
      </c>
      <c r="L16" s="235">
        <v>2725.27</v>
      </c>
      <c r="M16" s="236">
        <f>335736.93/M10</f>
        <v>3175.4178568050693</v>
      </c>
      <c r="N16" s="235">
        <v>4488.41</v>
      </c>
      <c r="O16" s="235">
        <v>4487.55</v>
      </c>
      <c r="P16" s="242">
        <v>4487.55</v>
      </c>
      <c r="Q16" s="236">
        <v>4500.21</v>
      </c>
    </row>
    <row r="17" spans="1:17" s="17" customFormat="1" ht="12.75">
      <c r="A17" s="80">
        <v>5</v>
      </c>
      <c r="B17" s="233" t="s">
        <v>401</v>
      </c>
      <c r="C17" s="80" t="s">
        <v>404</v>
      </c>
      <c r="D17" s="234">
        <v>3.11</v>
      </c>
      <c r="E17" s="234">
        <v>4.29</v>
      </c>
      <c r="F17" s="234">
        <v>4.4</v>
      </c>
      <c r="G17" s="236">
        <f>162741.38/G11</f>
        <v>4.089698690724499</v>
      </c>
      <c r="H17" s="236">
        <f>(3.64+3.53+3.35)/3</f>
        <v>3.5066666666666664</v>
      </c>
      <c r="I17" s="236">
        <f>202878.73/I11</f>
        <v>4.325528088498198</v>
      </c>
      <c r="J17" s="235">
        <v>4.83</v>
      </c>
      <c r="K17" s="236">
        <f>160789.66/K11</f>
        <v>4.199061365863876</v>
      </c>
      <c r="L17" s="235">
        <v>4.83</v>
      </c>
      <c r="M17" s="236">
        <f>190759/M11</f>
        <v>4.7155490086195915</v>
      </c>
      <c r="N17" s="235">
        <v>5.01</v>
      </c>
      <c r="O17" s="235">
        <v>5.07</v>
      </c>
      <c r="P17" s="242">
        <v>5.07</v>
      </c>
      <c r="Q17" s="236">
        <v>5.14</v>
      </c>
    </row>
    <row r="20" spans="9:16" ht="12.75">
      <c r="I20" s="243"/>
      <c r="J20" s="243"/>
      <c r="K20" s="243"/>
      <c r="L20" s="243"/>
      <c r="M20" s="243"/>
      <c r="N20" s="243"/>
      <c r="O20" s="243"/>
      <c r="P20" s="243"/>
    </row>
    <row r="21" spans="9:16" ht="12.75">
      <c r="I21" s="243"/>
      <c r="J21" s="243"/>
      <c r="K21" s="243"/>
      <c r="L21" s="243"/>
      <c r="M21" s="243"/>
      <c r="N21" s="243"/>
      <c r="O21" s="243"/>
      <c r="P21" s="243"/>
    </row>
    <row r="22" spans="9:16" ht="12.75">
      <c r="I22" s="243"/>
      <c r="J22" s="243"/>
      <c r="K22" s="243"/>
      <c r="L22" s="243"/>
      <c r="M22" s="243"/>
      <c r="N22" s="243"/>
      <c r="O22" s="243"/>
      <c r="P22" s="243"/>
    </row>
    <row r="23" spans="11:16" ht="12.75">
      <c r="K23" s="243"/>
      <c r="M23" s="243"/>
      <c r="P23" s="243"/>
    </row>
    <row r="25" spans="9:16" ht="12.75">
      <c r="I25" s="243"/>
      <c r="J25" s="243"/>
      <c r="K25" s="243"/>
      <c r="L25" s="243"/>
      <c r="M25" s="243"/>
      <c r="N25" s="243"/>
      <c r="O25" s="243"/>
      <c r="P25" s="243"/>
    </row>
    <row r="26" spans="10:15" ht="12.75">
      <c r="J26" s="243"/>
      <c r="L26" s="243"/>
      <c r="N26" s="243"/>
      <c r="O26" s="243"/>
    </row>
    <row r="28" spans="11:16" ht="12.75">
      <c r="K28" s="243"/>
      <c r="M28" s="243"/>
      <c r="P28" s="243"/>
    </row>
    <row r="29" spans="11:16" ht="12.75">
      <c r="K29" s="243"/>
      <c r="M29" s="243"/>
      <c r="P29" s="243"/>
    </row>
  </sheetData>
  <sheetProtection selectLockedCells="1" selectUnlockedCells="1"/>
  <mergeCells count="8">
    <mergeCell ref="A1:D1"/>
    <mergeCell ref="A2:F2"/>
    <mergeCell ref="A3:D3"/>
    <mergeCell ref="H9:H10"/>
    <mergeCell ref="J9:J10"/>
    <mergeCell ref="L9:L10"/>
    <mergeCell ref="N9:N10"/>
    <mergeCell ref="P9:P10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activeCellId="1" sqref="A74:J74 A2"/>
    </sheetView>
  </sheetViews>
  <sheetFormatPr defaultColWidth="9.00390625" defaultRowHeight="12.75"/>
  <cols>
    <col min="1" max="1" width="6.625" style="181" customWidth="1"/>
    <col min="2" max="2" width="42.625" style="181" customWidth="1"/>
    <col min="3" max="3" width="17.625" style="181" customWidth="1"/>
    <col min="4" max="8" width="10.625" style="181" customWidth="1"/>
    <col min="9" max="9" width="12.375" style="181" customWidth="1"/>
    <col min="10" max="10" width="11.625" style="181" customWidth="1"/>
    <col min="11" max="11" width="13.50390625" style="181" customWidth="1"/>
    <col min="12" max="16384" width="9.375" style="181" customWidth="1"/>
  </cols>
  <sheetData>
    <row r="1" spans="1:4" ht="12.75">
      <c r="A1" s="21" t="s">
        <v>405</v>
      </c>
      <c r="B1" s="21"/>
      <c r="C1" s="21"/>
      <c r="D1" s="21"/>
    </row>
    <row r="2" spans="1:5" ht="12.75">
      <c r="A2" s="244" t="s">
        <v>24</v>
      </c>
      <c r="B2" s="244"/>
      <c r="C2" s="244"/>
      <c r="D2" s="244"/>
      <c r="E2" s="244"/>
    </row>
    <row r="3" spans="1:4" ht="12.75">
      <c r="A3" s="245" t="s">
        <v>25</v>
      </c>
      <c r="B3" s="245"/>
      <c r="C3" s="245"/>
      <c r="D3" s="245"/>
    </row>
    <row r="4" spans="1:4" ht="12.75">
      <c r="A4" s="100"/>
      <c r="B4" s="100"/>
      <c r="C4" s="100"/>
      <c r="D4" s="100"/>
    </row>
    <row r="5" spans="1:11" ht="14.25" customHeight="1">
      <c r="A5" s="169" t="s">
        <v>200</v>
      </c>
      <c r="B5" s="169" t="s">
        <v>201</v>
      </c>
      <c r="C5" s="169" t="s">
        <v>268</v>
      </c>
      <c r="D5" s="96" t="s">
        <v>406</v>
      </c>
      <c r="E5" s="96" t="s">
        <v>407</v>
      </c>
      <c r="F5" s="96" t="s">
        <v>408</v>
      </c>
      <c r="G5" s="96" t="s">
        <v>409</v>
      </c>
      <c r="H5" s="96" t="s">
        <v>410</v>
      </c>
      <c r="I5" s="96" t="s">
        <v>411</v>
      </c>
      <c r="J5" s="246" t="s">
        <v>412</v>
      </c>
      <c r="K5" s="96" t="s">
        <v>413</v>
      </c>
    </row>
    <row r="6" spans="1:11" ht="12.75">
      <c r="A6" s="142">
        <v>1</v>
      </c>
      <c r="B6" s="148" t="s">
        <v>414</v>
      </c>
      <c r="C6" s="142" t="s">
        <v>415</v>
      </c>
      <c r="D6" s="247">
        <f>4578958.58/1000</f>
        <v>4578.95858</v>
      </c>
      <c r="E6" s="247">
        <f>4578958.58/1000</f>
        <v>4578.95858</v>
      </c>
      <c r="F6" s="247">
        <f>4578958.58/1000</f>
        <v>4578.95858</v>
      </c>
      <c r="G6" s="247">
        <f>4578958.58/1000</f>
        <v>4578.95858</v>
      </c>
      <c r="H6" s="247">
        <f>4578958.58/1000</f>
        <v>4578.95858</v>
      </c>
      <c r="I6" s="247">
        <f>(4578958.58+1638680.74)/1000</f>
        <v>6217.63932</v>
      </c>
      <c r="J6" s="248">
        <f>(4578958.58+1638680.74)/1000</f>
        <v>6217.63932</v>
      </c>
      <c r="K6" s="249">
        <v>6217.64</v>
      </c>
    </row>
    <row r="7" spans="1:11" ht="12.75">
      <c r="A7" s="142">
        <v>2</v>
      </c>
      <c r="B7" s="148" t="s">
        <v>416</v>
      </c>
      <c r="C7" s="142" t="s">
        <v>417</v>
      </c>
      <c r="D7" s="72">
        <v>34.7</v>
      </c>
      <c r="E7" s="72">
        <v>35.5</v>
      </c>
      <c r="F7" s="72">
        <v>36.3</v>
      </c>
      <c r="G7" s="72">
        <v>37.1</v>
      </c>
      <c r="H7" s="72">
        <v>37.9</v>
      </c>
      <c r="I7" s="72">
        <v>34.98</v>
      </c>
      <c r="J7" s="250">
        <v>35.77</v>
      </c>
      <c r="K7" s="249">
        <v>36.48</v>
      </c>
    </row>
    <row r="8" spans="1:11" ht="12.75">
      <c r="A8" s="142">
        <v>3</v>
      </c>
      <c r="B8" s="148" t="s">
        <v>418</v>
      </c>
      <c r="C8" s="142" t="s">
        <v>415</v>
      </c>
      <c r="D8" s="72" t="s">
        <v>64</v>
      </c>
      <c r="E8" s="72" t="s">
        <v>64</v>
      </c>
      <c r="F8" s="72" t="s">
        <v>64</v>
      </c>
      <c r="G8" s="72" t="s">
        <v>64</v>
      </c>
      <c r="H8" s="72" t="s">
        <v>64</v>
      </c>
      <c r="I8" s="72" t="s">
        <v>64</v>
      </c>
      <c r="J8" s="250" t="s">
        <v>64</v>
      </c>
      <c r="K8" s="249" t="s">
        <v>64</v>
      </c>
    </row>
    <row r="9" spans="1:11" ht="12.75">
      <c r="A9" s="142">
        <v>4</v>
      </c>
      <c r="B9" s="148" t="s">
        <v>419</v>
      </c>
      <c r="C9" s="142"/>
      <c r="D9" s="72"/>
      <c r="E9" s="72"/>
      <c r="F9" s="72"/>
      <c r="G9" s="72"/>
      <c r="H9" s="72"/>
      <c r="I9" s="72"/>
      <c r="J9" s="250"/>
      <c r="K9" s="249"/>
    </row>
    <row r="10" spans="1:11" ht="12.75">
      <c r="A10" s="142" t="s">
        <v>254</v>
      </c>
      <c r="B10" s="148" t="s">
        <v>332</v>
      </c>
      <c r="C10" s="142" t="s">
        <v>272</v>
      </c>
      <c r="D10" s="72" t="s">
        <v>64</v>
      </c>
      <c r="E10" s="72" t="s">
        <v>64</v>
      </c>
      <c r="F10" s="72" t="s">
        <v>64</v>
      </c>
      <c r="G10" s="72" t="s">
        <v>64</v>
      </c>
      <c r="H10" s="72" t="s">
        <v>64</v>
      </c>
      <c r="I10" s="72" t="s">
        <v>64</v>
      </c>
      <c r="J10" s="250" t="s">
        <v>64</v>
      </c>
      <c r="K10" s="249" t="s">
        <v>64</v>
      </c>
    </row>
    <row r="11" spans="1:11" ht="12.75">
      <c r="A11" s="142" t="s">
        <v>420</v>
      </c>
      <c r="B11" s="148" t="s">
        <v>421</v>
      </c>
      <c r="C11" s="142" t="s">
        <v>272</v>
      </c>
      <c r="D11" s="72" t="s">
        <v>64</v>
      </c>
      <c r="E11" s="72" t="s">
        <v>64</v>
      </c>
      <c r="F11" s="72" t="s">
        <v>64</v>
      </c>
      <c r="G11" s="72" t="s">
        <v>64</v>
      </c>
      <c r="H11" s="72" t="s">
        <v>64</v>
      </c>
      <c r="I11" s="72" t="s">
        <v>64</v>
      </c>
      <c r="J11" s="250" t="s">
        <v>64</v>
      </c>
      <c r="K11" s="249" t="s">
        <v>64</v>
      </c>
    </row>
    <row r="12" spans="1:11" ht="12.75">
      <c r="A12" s="142" t="s">
        <v>422</v>
      </c>
      <c r="B12" s="148" t="s">
        <v>423</v>
      </c>
      <c r="C12" s="142" t="s">
        <v>272</v>
      </c>
      <c r="D12" s="72" t="s">
        <v>64</v>
      </c>
      <c r="E12" s="72" t="s">
        <v>64</v>
      </c>
      <c r="F12" s="72" t="s">
        <v>64</v>
      </c>
      <c r="G12" s="72" t="s">
        <v>64</v>
      </c>
      <c r="H12" s="72" t="s">
        <v>64</v>
      </c>
      <c r="I12" s="72" t="s">
        <v>64</v>
      </c>
      <c r="J12" s="250" t="s">
        <v>64</v>
      </c>
      <c r="K12" s="249" t="s">
        <v>64</v>
      </c>
    </row>
    <row r="13" spans="1:11" ht="12.75">
      <c r="A13" s="142">
        <v>5</v>
      </c>
      <c r="B13" s="148" t="s">
        <v>424</v>
      </c>
      <c r="C13" s="142" t="s">
        <v>415</v>
      </c>
      <c r="D13" s="247">
        <v>7987.5</v>
      </c>
      <c r="E13" s="247">
        <v>8350.7</v>
      </c>
      <c r="F13" s="247">
        <v>8480.5</v>
      </c>
      <c r="G13" s="247">
        <v>8480.5</v>
      </c>
      <c r="H13" s="247">
        <v>7811.77</v>
      </c>
      <c r="I13" s="247">
        <f>10551183.9/1000</f>
        <v>10551.1839</v>
      </c>
      <c r="J13" s="248">
        <v>11039.27</v>
      </c>
      <c r="K13" s="247">
        <v>11395.82</v>
      </c>
    </row>
    <row r="14" spans="1:11" ht="12.75">
      <c r="A14" s="142">
        <v>6</v>
      </c>
      <c r="B14" s="148" t="s">
        <v>425</v>
      </c>
      <c r="C14" s="142" t="s">
        <v>417</v>
      </c>
      <c r="D14" s="251">
        <v>57.85</v>
      </c>
      <c r="E14" s="251">
        <v>59.72</v>
      </c>
      <c r="F14" s="251">
        <v>63.02</v>
      </c>
      <c r="G14" s="251">
        <v>64.7</v>
      </c>
      <c r="H14" s="251">
        <f>100-((H22/H13)*100)</f>
        <v>63.28194506494687</v>
      </c>
      <c r="I14" s="251">
        <f>100-((I22/I13)*100)</f>
        <v>57.7831946422619</v>
      </c>
      <c r="J14" s="252">
        <v>59.5</v>
      </c>
      <c r="K14" s="253">
        <v>61.81</v>
      </c>
    </row>
    <row r="15" spans="1:13" ht="12.75">
      <c r="A15" s="142" t="s">
        <v>426</v>
      </c>
      <c r="B15" s="148" t="s">
        <v>427</v>
      </c>
      <c r="C15" s="142" t="s">
        <v>417</v>
      </c>
      <c r="D15" s="251" t="s">
        <v>64</v>
      </c>
      <c r="E15" s="251" t="s">
        <v>64</v>
      </c>
      <c r="F15" s="251" t="s">
        <v>64</v>
      </c>
      <c r="G15" s="251" t="s">
        <v>64</v>
      </c>
      <c r="H15" s="251" t="s">
        <v>64</v>
      </c>
      <c r="I15" s="251" t="s">
        <v>64</v>
      </c>
      <c r="J15" s="252" t="s">
        <v>64</v>
      </c>
      <c r="K15" s="249" t="s">
        <v>64</v>
      </c>
      <c r="L15" s="254"/>
      <c r="M15" s="254"/>
    </row>
    <row r="16" spans="1:11" ht="12.75">
      <c r="A16" s="142" t="s">
        <v>428</v>
      </c>
      <c r="B16" s="148" t="s">
        <v>429</v>
      </c>
      <c r="C16" s="142" t="s">
        <v>417</v>
      </c>
      <c r="D16" s="251">
        <v>98.1</v>
      </c>
      <c r="E16" s="251">
        <v>98.2</v>
      </c>
      <c r="F16" s="251">
        <v>98.4</v>
      </c>
      <c r="G16" s="251">
        <v>98.5</v>
      </c>
      <c r="H16" s="251">
        <v>98.6</v>
      </c>
      <c r="I16" s="251">
        <v>95.95</v>
      </c>
      <c r="J16" s="252">
        <v>96.9</v>
      </c>
      <c r="K16" s="253">
        <v>99.27</v>
      </c>
    </row>
    <row r="17" spans="1:14" ht="12.75">
      <c r="A17" s="142" t="s">
        <v>430</v>
      </c>
      <c r="B17" s="148" t="s">
        <v>431</v>
      </c>
      <c r="C17" s="142" t="s">
        <v>417</v>
      </c>
      <c r="D17" s="251" t="s">
        <v>64</v>
      </c>
      <c r="E17" s="251" t="s">
        <v>64</v>
      </c>
      <c r="F17" s="251" t="s">
        <v>64</v>
      </c>
      <c r="G17" s="251" t="s">
        <v>64</v>
      </c>
      <c r="H17" s="251" t="s">
        <v>64</v>
      </c>
      <c r="I17" s="251" t="s">
        <v>64</v>
      </c>
      <c r="J17" s="252" t="s">
        <v>64</v>
      </c>
      <c r="K17" s="249" t="s">
        <v>64</v>
      </c>
      <c r="L17" s="254"/>
      <c r="M17" s="254"/>
      <c r="N17" s="254"/>
    </row>
    <row r="18" spans="1:11" ht="12.75">
      <c r="A18" s="142" t="s">
        <v>432</v>
      </c>
      <c r="B18" s="148" t="s">
        <v>433</v>
      </c>
      <c r="C18" s="142" t="s">
        <v>417</v>
      </c>
      <c r="D18" s="251">
        <v>90.2</v>
      </c>
      <c r="E18" s="251">
        <v>86</v>
      </c>
      <c r="F18" s="251">
        <v>90.9</v>
      </c>
      <c r="G18" s="251">
        <v>95.5</v>
      </c>
      <c r="H18" s="251">
        <v>96.8</v>
      </c>
      <c r="I18" s="251">
        <v>99.28</v>
      </c>
      <c r="J18" s="252">
        <v>82.75</v>
      </c>
      <c r="K18" s="253">
        <v>87.75</v>
      </c>
    </row>
    <row r="19" spans="1:11" ht="12.75">
      <c r="A19" s="142" t="s">
        <v>434</v>
      </c>
      <c r="B19" s="148" t="s">
        <v>427</v>
      </c>
      <c r="C19" s="142" t="s">
        <v>417</v>
      </c>
      <c r="D19" s="251" t="s">
        <v>64</v>
      </c>
      <c r="E19" s="251" t="s">
        <v>64</v>
      </c>
      <c r="F19" s="251" t="s">
        <v>64</v>
      </c>
      <c r="G19" s="251" t="s">
        <v>64</v>
      </c>
      <c r="H19" s="251" t="s">
        <v>64</v>
      </c>
      <c r="I19" s="251" t="s">
        <v>64</v>
      </c>
      <c r="J19" s="252" t="s">
        <v>64</v>
      </c>
      <c r="K19" s="249" t="s">
        <v>64</v>
      </c>
    </row>
    <row r="20" spans="1:11" ht="12.75">
      <c r="A20" s="142" t="s">
        <v>435</v>
      </c>
      <c r="B20" s="148" t="s">
        <v>436</v>
      </c>
      <c r="C20" s="142" t="s">
        <v>417</v>
      </c>
      <c r="D20" s="251" t="s">
        <v>64</v>
      </c>
      <c r="E20" s="251" t="s">
        <v>64</v>
      </c>
      <c r="F20" s="251" t="s">
        <v>64</v>
      </c>
      <c r="G20" s="251" t="s">
        <v>64</v>
      </c>
      <c r="H20" s="251" t="s">
        <v>64</v>
      </c>
      <c r="I20" s="251" t="s">
        <v>64</v>
      </c>
      <c r="J20" s="252" t="s">
        <v>64</v>
      </c>
      <c r="K20" s="249" t="s">
        <v>64</v>
      </c>
    </row>
    <row r="21" spans="1:11" ht="12.75">
      <c r="A21" s="142" t="s">
        <v>437</v>
      </c>
      <c r="B21" s="148" t="s">
        <v>438</v>
      </c>
      <c r="C21" s="142" t="s">
        <v>417</v>
      </c>
      <c r="D21" s="251">
        <v>72.7</v>
      </c>
      <c r="E21" s="251">
        <v>86.9</v>
      </c>
      <c r="F21" s="251">
        <v>100</v>
      </c>
      <c r="G21" s="251">
        <v>100</v>
      </c>
      <c r="H21" s="251">
        <v>100</v>
      </c>
      <c r="I21" s="251">
        <v>100</v>
      </c>
      <c r="J21" s="252">
        <v>100</v>
      </c>
      <c r="K21" s="253">
        <v>100</v>
      </c>
    </row>
    <row r="22" spans="1:11" ht="12.75">
      <c r="A22" s="142">
        <v>7</v>
      </c>
      <c r="B22" s="148" t="s">
        <v>439</v>
      </c>
      <c r="C22" s="142" t="s">
        <v>415</v>
      </c>
      <c r="D22" s="255">
        <v>3366.6</v>
      </c>
      <c r="E22" s="255">
        <v>3363.41</v>
      </c>
      <c r="F22" s="255">
        <v>3135.89</v>
      </c>
      <c r="G22" s="255">
        <v>2994.15</v>
      </c>
      <c r="H22" s="255">
        <v>2868.33</v>
      </c>
      <c r="I22" s="255">
        <f>4454372.77/1000</f>
        <v>4454.37277</v>
      </c>
      <c r="J22" s="256">
        <v>4559.35</v>
      </c>
      <c r="K22" s="249">
        <v>4352.38</v>
      </c>
    </row>
    <row r="24" spans="1:2" s="259" customFormat="1" ht="12.75">
      <c r="A24" s="257" t="s">
        <v>440</v>
      </c>
      <c r="B24" s="258" t="s">
        <v>441</v>
      </c>
    </row>
    <row r="25" spans="2:11" s="259" customFormat="1" ht="12.75">
      <c r="B25" s="259" t="s">
        <v>442</v>
      </c>
      <c r="K25" s="260"/>
    </row>
    <row r="26" ht="12.75">
      <c r="K26" s="261"/>
    </row>
    <row r="27" ht="12.75">
      <c r="K27" s="261"/>
    </row>
    <row r="28" ht="12.75">
      <c r="K28" s="262"/>
    </row>
    <row r="30" spans="11:12" ht="12.75">
      <c r="K30" s="263"/>
      <c r="L30" s="259"/>
    </row>
    <row r="31" ht="12.75">
      <c r="K31" s="261"/>
    </row>
    <row r="32" ht="12.75">
      <c r="K32" s="261"/>
    </row>
    <row r="33" ht="12.75">
      <c r="K33" s="262"/>
    </row>
    <row r="35" spans="11:12" ht="12.75">
      <c r="K35" s="263"/>
      <c r="L35" s="259"/>
    </row>
    <row r="36" ht="12.75">
      <c r="K36" s="261"/>
    </row>
    <row r="37" ht="12.75">
      <c r="K37" s="261"/>
    </row>
    <row r="38" ht="12.75">
      <c r="K38" s="261"/>
    </row>
    <row r="40" spans="11:12" ht="12.75">
      <c r="K40" s="263"/>
      <c r="L40" s="264"/>
    </row>
    <row r="41" spans="11:13" ht="12.75">
      <c r="K41" s="265"/>
      <c r="L41" s="266"/>
      <c r="M41" s="266"/>
    </row>
    <row r="42" spans="11:13" ht="12.75">
      <c r="K42" s="265"/>
      <c r="L42" s="266"/>
      <c r="M42" s="266"/>
    </row>
    <row r="43" spans="11:12" ht="12.75">
      <c r="K43" s="262"/>
      <c r="L43" s="264"/>
    </row>
    <row r="45" ht="12.75">
      <c r="K45" s="267"/>
    </row>
    <row r="46" ht="12.75">
      <c r="K46" s="267"/>
    </row>
    <row r="47" ht="12.75">
      <c r="K47" s="267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/>
  <cp:lastPrinted>2018-01-24T13:05:57Z</cp:lastPrinted>
  <dcterms:created xsi:type="dcterms:W3CDTF">2018-01-19T12:31:14Z</dcterms:created>
  <dcterms:modified xsi:type="dcterms:W3CDTF">2018-01-29T08:50:47Z</dcterms:modified>
  <cp:category/>
  <cp:version/>
  <cp:contentType/>
  <cp:contentStatus/>
  <cp:revision>1</cp:revision>
</cp:coreProperties>
</file>